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me\Dropbox\"/>
    </mc:Choice>
  </mc:AlternateContent>
  <xr:revisionPtr revIDLastSave="0" documentId="13_ncr:1_{19B6878F-ACA4-4B99-BDE7-B6EF990831E3}" xr6:coauthVersionLast="47" xr6:coauthVersionMax="47" xr10:uidLastSave="{00000000-0000-0000-0000-000000000000}"/>
  <bookViews>
    <workbookView xWindow="-120" yWindow="-120" windowWidth="29040" windowHeight="15990" xr2:uid="{1178AD7C-A0DB-44CB-B656-15F82404E605}"/>
  </bookViews>
  <sheets>
    <sheet name="Model" sheetId="1" r:id="rId1"/>
    <sheet name="V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" l="1"/>
  <c r="C20" i="2"/>
  <c r="C8" i="2"/>
  <c r="C9" i="2" s="1"/>
  <c r="C13" i="2" s="1"/>
  <c r="C16" i="2" s="1"/>
  <c r="C15" i="2"/>
  <c r="C18" i="2" s="1"/>
  <c r="P45" i="1" s="1"/>
  <c r="O41" i="1"/>
  <c r="O42" i="1" s="1"/>
  <c r="O43" i="1" s="1"/>
  <c r="P41" i="1"/>
  <c r="P42" i="1" s="1"/>
  <c r="P43" i="1" s="1"/>
  <c r="M11" i="1"/>
  <c r="L11" i="1"/>
  <c r="Q20" i="1"/>
  <c r="Q16" i="1"/>
  <c r="H5" i="1"/>
  <c r="H23" i="1"/>
  <c r="H19" i="1"/>
  <c r="H15" i="1"/>
  <c r="M23" i="1"/>
  <c r="M22" i="1" s="1"/>
  <c r="L23" i="1"/>
  <c r="L22" i="1" s="1"/>
  <c r="M19" i="1"/>
  <c r="M18" i="1" s="1"/>
  <c r="L19" i="1"/>
  <c r="L18" i="1" s="1"/>
  <c r="I5" i="1"/>
  <c r="I23" i="1"/>
  <c r="I19" i="1"/>
  <c r="I15" i="1"/>
  <c r="M15" i="1"/>
  <c r="M14" i="1" s="1"/>
  <c r="L15" i="1"/>
  <c r="L14" i="1" s="1"/>
  <c r="J5" i="1"/>
  <c r="J23" i="1"/>
  <c r="J19" i="1"/>
  <c r="J15" i="1"/>
  <c r="P39" i="1"/>
  <c r="C21" i="2" l="1"/>
  <c r="Q11" i="1"/>
  <c r="Q14" i="1"/>
  <c r="Q18" i="1"/>
  <c r="Q19" i="1" s="1"/>
  <c r="Q15" i="1" l="1"/>
  <c r="K5" i="1"/>
  <c r="G22" i="1"/>
  <c r="Q24" i="1" s="1"/>
  <c r="K19" i="1"/>
  <c r="K15" i="1"/>
  <c r="K22" i="1"/>
  <c r="Q22" i="1" s="1"/>
  <c r="Q23" i="1" s="1"/>
  <c r="K23" i="1" l="1"/>
  <c r="O4" i="1"/>
  <c r="P23" i="1"/>
  <c r="R18" i="1"/>
  <c r="P19" i="1"/>
  <c r="R14" i="1"/>
  <c r="P15" i="1"/>
  <c r="P4" i="1"/>
  <c r="M9" i="1"/>
  <c r="L9" i="1"/>
  <c r="I12" i="1"/>
  <c r="I10" i="1"/>
  <c r="J12" i="1"/>
  <c r="K12" i="1"/>
  <c r="J10" i="1"/>
  <c r="K10" i="1"/>
  <c r="R15" i="1" l="1"/>
  <c r="S18" i="1"/>
  <c r="S19" i="1" s="1"/>
  <c r="R19" i="1"/>
  <c r="S14" i="1"/>
  <c r="O32" i="1"/>
  <c r="O26" i="1"/>
  <c r="P33" i="1"/>
  <c r="P26" i="1"/>
  <c r="L10" i="1"/>
  <c r="L4" i="1"/>
  <c r="L5" i="1" s="1"/>
  <c r="M10" i="1"/>
  <c r="M4" i="1"/>
  <c r="M5" i="1" s="1"/>
  <c r="R22" i="1"/>
  <c r="R23" i="1" s="1"/>
  <c r="P32" i="1"/>
  <c r="P5" i="1"/>
  <c r="Q9" i="1"/>
  <c r="Q31" i="1" s="1"/>
  <c r="S15" i="1" l="1"/>
  <c r="P27" i="1"/>
  <c r="Q4" i="1"/>
  <c r="Q5" i="1" s="1"/>
  <c r="S22" i="1"/>
  <c r="S23" i="1" s="1"/>
  <c r="R9" i="1"/>
  <c r="R31" i="1" s="1"/>
  <c r="Q12" i="1"/>
  <c r="Q10" i="1"/>
  <c r="G8" i="2" l="1"/>
  <c r="R11" i="1"/>
  <c r="G5" i="2"/>
  <c r="G6" i="2" s="1"/>
  <c r="Q41" i="1"/>
  <c r="S9" i="1"/>
  <c r="S31" i="1" s="1"/>
  <c r="R10" i="1"/>
  <c r="R4" i="1"/>
  <c r="S41" i="1" l="1"/>
  <c r="S42" i="1" s="1"/>
  <c r="S43" i="1" s="1"/>
  <c r="G17" i="2" s="1"/>
  <c r="S11" i="1"/>
  <c r="R41" i="1"/>
  <c r="R42" i="1" s="1"/>
  <c r="R43" i="1" s="1"/>
  <c r="G14" i="2" s="1"/>
  <c r="F24" i="2" s="1"/>
  <c r="F27" i="2" s="1"/>
  <c r="G9" i="2"/>
  <c r="S10" i="1"/>
  <c r="S4" i="1"/>
  <c r="R26" i="1"/>
  <c r="R32" i="1"/>
  <c r="R5" i="1"/>
  <c r="G18" i="2" l="1"/>
  <c r="G24" i="2"/>
  <c r="F25" i="2"/>
  <c r="S32" i="1"/>
  <c r="G15" i="2"/>
  <c r="S26" i="1"/>
  <c r="S27" i="1" s="1"/>
  <c r="S5" i="1"/>
  <c r="S33" i="1"/>
  <c r="G27" i="2" l="1"/>
  <c r="G25" i="2"/>
  <c r="Q26" i="1"/>
  <c r="R27" i="1" s="1"/>
  <c r="Q45" i="1"/>
  <c r="F28" i="2" s="1"/>
  <c r="F29" i="2" s="1"/>
  <c r="F32" i="2" s="1"/>
  <c r="Q32" i="1"/>
  <c r="R33" i="1"/>
  <c r="Q33" i="1"/>
  <c r="R45" i="1" l="1"/>
  <c r="F31" i="2"/>
  <c r="Q42" i="1"/>
  <c r="Q43" i="1" s="1"/>
  <c r="G11" i="2" s="1"/>
  <c r="G12" i="2" s="1"/>
  <c r="Q27" i="1"/>
  <c r="S45" i="1" l="1"/>
  <c r="G28" i="2"/>
  <c r="G29" i="2" s="1"/>
  <c r="G32" i="2" l="1"/>
  <c r="G31" i="2"/>
</calcChain>
</file>

<file path=xl/sharedStrings.xml><?xml version="1.0" encoding="utf-8"?>
<sst xmlns="http://schemas.openxmlformats.org/spreadsheetml/2006/main" count="100" uniqueCount="66">
  <si>
    <t>Sol de Janeiro</t>
  </si>
  <si>
    <t>FY24</t>
  </si>
  <si>
    <t>Q2</t>
  </si>
  <si>
    <t>Q1</t>
  </si>
  <si>
    <t>FY23</t>
  </si>
  <si>
    <t>Q3</t>
  </si>
  <si>
    <t>Q4</t>
  </si>
  <si>
    <t>L'Occitane</t>
  </si>
  <si>
    <t>Elemis</t>
  </si>
  <si>
    <t>Others</t>
  </si>
  <si>
    <t>YoY %</t>
  </si>
  <si>
    <t>CC %</t>
  </si>
  <si>
    <t>Abs $</t>
  </si>
  <si>
    <t>FY22</t>
  </si>
  <si>
    <t>FY25</t>
  </si>
  <si>
    <t>Total Sales</t>
  </si>
  <si>
    <t>-</t>
  </si>
  <si>
    <t>Adj. EBIT</t>
  </si>
  <si>
    <t>FY26</t>
  </si>
  <si>
    <t>HKD/EUR</t>
  </si>
  <si>
    <t>N/A</t>
  </si>
  <si>
    <t>EBIT M%</t>
  </si>
  <si>
    <t>A</t>
  </si>
  <si>
    <t>E</t>
  </si>
  <si>
    <t>Sales by brand</t>
  </si>
  <si>
    <t>Margin by brand</t>
  </si>
  <si>
    <t>Incremental M%</t>
  </si>
  <si>
    <t>OPEX</t>
  </si>
  <si>
    <t>Net Income (Tax @ 25%)</t>
  </si>
  <si>
    <t>EPS in HKD</t>
  </si>
  <si>
    <t>Last update</t>
  </si>
  <si>
    <t>(x) Diluted S/O</t>
  </si>
  <si>
    <t>Market cap</t>
  </si>
  <si>
    <t>Total Enterprise Value (TEV)</t>
  </si>
  <si>
    <t>L'Occitane - Cap Structure</t>
  </si>
  <si>
    <t>Last px (HKD)</t>
  </si>
  <si>
    <t>(+) Debt (FY23)</t>
  </si>
  <si>
    <t>(-) Cash on B/S (FY23)</t>
  </si>
  <si>
    <t>Net Debt</t>
  </si>
  <si>
    <t>Valuation</t>
  </si>
  <si>
    <t>Price Target</t>
  </si>
  <si>
    <t>Market value / share</t>
  </si>
  <si>
    <t>Upside/downside</t>
  </si>
  <si>
    <t>TEV / EBIT on '24E</t>
  </si>
  <si>
    <t>TEV / EBIT on '25E</t>
  </si>
  <si>
    <t>P/E on '25E</t>
  </si>
  <si>
    <t>Market Cap</t>
  </si>
  <si>
    <t>Implied EBIT Multiple on '25E</t>
  </si>
  <si>
    <t>FY24 EBIT (CSC Est.)</t>
  </si>
  <si>
    <t>FY25 EBIT (CSC)</t>
  </si>
  <si>
    <t>FY24 EPS in HKD (CSC)</t>
  </si>
  <si>
    <t>FY25 EPS in HKD (CSC)</t>
  </si>
  <si>
    <t>P/E on '24E</t>
  </si>
  <si>
    <t>Net debt / (cash)</t>
  </si>
  <si>
    <t>EPS in EUR</t>
  </si>
  <si>
    <t>Pre-IFRS 16 '23 EBITDA</t>
  </si>
  <si>
    <t>Net debt / EBITDA</t>
  </si>
  <si>
    <t xml:space="preserve">Incremental investment </t>
  </si>
  <si>
    <t>P/E Multiple</t>
  </si>
  <si>
    <t>FY25E</t>
  </si>
  <si>
    <t>FY26E</t>
  </si>
  <si>
    <t>FY26 EPS in HKD (CSC)</t>
  </si>
  <si>
    <t>P/E on '26E</t>
  </si>
  <si>
    <t>(+) Net debt (T-1)</t>
  </si>
  <si>
    <t>Implied EV/Sales</t>
  </si>
  <si>
    <t>L'Occitane (927.HK)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</si>
</sst>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&quot;$&quot;#,##0"/>
    <numFmt numFmtId="166" formatCode="#,##0.0_)\x;\(#,##0.0\)"/>
    <numFmt numFmtId="167" formatCode="[$BRL]\ #,##0.00"/>
    <numFmt numFmtId="168" formatCode="[$HKD]\ #,##0.00_);\([$HKD]\ #,##0.00\)"/>
    <numFmt numFmtId="169" formatCode="[$HKD]\ #,##0_);\([$HKD]\ #,##0\)"/>
    <numFmt numFmtId="170" formatCode="[$EUR]\ #,##0_);\([$EUR]\ 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7" tint="-0.249977111117893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7" tint="-0.249977111117893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EE8CA"/>
        <bgColor indexed="64"/>
      </patternFill>
    </fill>
  </fills>
  <borders count="8">
    <border>
      <left/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9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3" fillId="2" borderId="0" xfId="0" applyFont="1" applyFill="1"/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indent="2"/>
    </xf>
    <xf numFmtId="9" fontId="3" fillId="2" borderId="0" xfId="2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0" fontId="3" fillId="2" borderId="0" xfId="0" applyFont="1" applyFill="1" applyAlignment="1">
      <alignment horizontal="center"/>
    </xf>
    <xf numFmtId="9" fontId="3" fillId="2" borderId="0" xfId="0" applyNumberFormat="1" applyFont="1" applyFill="1" applyAlignment="1">
      <alignment horizontal="center"/>
    </xf>
    <xf numFmtId="9" fontId="4" fillId="2" borderId="0" xfId="2" applyFont="1" applyFill="1" applyAlignment="1">
      <alignment horizontal="center"/>
    </xf>
    <xf numFmtId="0" fontId="6" fillId="2" borderId="0" xfId="0" applyFont="1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3" fillId="3" borderId="0" xfId="0" applyFont="1" applyFill="1"/>
    <xf numFmtId="1" fontId="3" fillId="3" borderId="0" xfId="0" applyNumberFormat="1" applyFont="1" applyFill="1"/>
    <xf numFmtId="164" fontId="4" fillId="3" borderId="0" xfId="2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2" applyNumberFormat="1" applyFont="1" applyFill="1" applyAlignment="1">
      <alignment horizontal="center"/>
    </xf>
    <xf numFmtId="9" fontId="3" fillId="3" borderId="0" xfId="2" applyFont="1" applyFill="1" applyAlignment="1">
      <alignment horizontal="center"/>
    </xf>
    <xf numFmtId="9" fontId="4" fillId="3" borderId="0" xfId="2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left" indent="3"/>
    </xf>
    <xf numFmtId="0" fontId="3" fillId="3" borderId="0" xfId="0" applyFont="1" applyFill="1" applyAlignment="1">
      <alignment horizontal="left" indent="2"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 indent="1"/>
    </xf>
    <xf numFmtId="14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left" indent="1"/>
    </xf>
    <xf numFmtId="37" fontId="3" fillId="0" borderId="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9" fillId="0" borderId="0" xfId="1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 indent="1"/>
    </xf>
    <xf numFmtId="39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4" fillId="0" borderId="0" xfId="1" applyNumberFormat="1" applyFont="1" applyAlignment="1">
      <alignment horizontal="center"/>
    </xf>
    <xf numFmtId="168" fontId="7" fillId="0" borderId="0" xfId="1" applyNumberFormat="1" applyFont="1" applyAlignment="1">
      <alignment horizontal="center"/>
    </xf>
    <xf numFmtId="169" fontId="7" fillId="0" borderId="4" xfId="1" applyNumberFormat="1" applyFont="1" applyBorder="1" applyAlignment="1">
      <alignment horizontal="center"/>
    </xf>
    <xf numFmtId="170" fontId="7" fillId="0" borderId="0" xfId="1" applyNumberFormat="1" applyFont="1" applyBorder="1" applyAlignment="1">
      <alignment horizontal="center"/>
    </xf>
    <xf numFmtId="170" fontId="9" fillId="0" borderId="0" xfId="1" applyNumberFormat="1" applyFont="1" applyBorder="1" applyAlignment="1">
      <alignment horizontal="center"/>
    </xf>
    <xf numFmtId="170" fontId="9" fillId="0" borderId="3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0" fontId="3" fillId="0" borderId="3" xfId="0" applyFont="1" applyBorder="1" applyAlignment="1">
      <alignment horizontal="left" indent="2"/>
    </xf>
    <xf numFmtId="0" fontId="5" fillId="0" borderId="5" xfId="0" applyFont="1" applyBorder="1" applyAlignment="1">
      <alignment horizontal="left" indent="1"/>
    </xf>
    <xf numFmtId="169" fontId="7" fillId="0" borderId="6" xfId="1" applyNumberFormat="1" applyFont="1" applyBorder="1" applyAlignment="1">
      <alignment horizontal="center"/>
    </xf>
    <xf numFmtId="0" fontId="10" fillId="0" borderId="0" xfId="0" applyFont="1" applyAlignment="1">
      <alignment horizontal="left" indent="2"/>
    </xf>
    <xf numFmtId="0" fontId="10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9" fontId="10" fillId="0" borderId="0" xfId="2" applyFont="1" applyAlignment="1">
      <alignment horizontal="center"/>
    </xf>
    <xf numFmtId="9" fontId="9" fillId="0" borderId="0" xfId="2" applyFont="1" applyAlignment="1">
      <alignment horizontal="center"/>
    </xf>
    <xf numFmtId="0" fontId="11" fillId="0" borderId="0" xfId="0" applyFont="1" applyAlignment="1">
      <alignment horizontal="left" inden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 inden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1F09-2AE6-4624-936D-D31FFD72DA8A}">
  <dimension ref="B2:S45"/>
  <sheetViews>
    <sheetView showGridLines="0" tabSelected="1" zoomScale="80" zoomScaleNormal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/>
    </sheetView>
  </sheetViews>
  <sheetFormatPr defaultColWidth="8.7109375" defaultRowHeight="15" x14ac:dyDescent="0.25"/>
  <cols>
    <col min="1" max="1" width="4.28515625" style="1" customWidth="1"/>
    <col min="2" max="2" width="8.7109375" style="1"/>
    <col min="3" max="3" width="18.42578125" style="1" customWidth="1"/>
    <col min="4" max="14" width="8.7109375" style="1" customWidth="1"/>
    <col min="15" max="15" width="8.7109375" style="1"/>
    <col min="16" max="16" width="9" style="1" bestFit="1" customWidth="1"/>
    <col min="17" max="16384" width="8.7109375" style="1"/>
  </cols>
  <sheetData>
    <row r="2" spans="2:19" ht="15.75" x14ac:dyDescent="0.25">
      <c r="B2" s="68" t="s">
        <v>65</v>
      </c>
      <c r="D2" s="2" t="s">
        <v>13</v>
      </c>
      <c r="E2" s="2" t="s">
        <v>13</v>
      </c>
      <c r="F2" s="2" t="s">
        <v>4</v>
      </c>
      <c r="G2" s="2" t="s">
        <v>4</v>
      </c>
      <c r="H2" s="2" t="s">
        <v>4</v>
      </c>
      <c r="I2" s="2" t="s">
        <v>4</v>
      </c>
      <c r="J2" s="2" t="s">
        <v>1</v>
      </c>
      <c r="K2" s="2" t="s">
        <v>1</v>
      </c>
      <c r="L2" s="2" t="s">
        <v>1</v>
      </c>
      <c r="M2" s="2" t="s">
        <v>1</v>
      </c>
      <c r="O2" s="33" t="s">
        <v>13</v>
      </c>
      <c r="P2" s="33" t="s">
        <v>4</v>
      </c>
      <c r="Q2" s="33" t="s">
        <v>1</v>
      </c>
      <c r="R2" s="33" t="s">
        <v>14</v>
      </c>
      <c r="S2" s="33" t="s">
        <v>18</v>
      </c>
    </row>
    <row r="3" spans="2:19" x14ac:dyDescent="0.25">
      <c r="D3" s="2" t="s">
        <v>5</v>
      </c>
      <c r="E3" s="2" t="s">
        <v>6</v>
      </c>
      <c r="F3" s="2" t="s">
        <v>3</v>
      </c>
      <c r="G3" s="2" t="s">
        <v>2</v>
      </c>
      <c r="H3" s="2" t="s">
        <v>5</v>
      </c>
      <c r="I3" s="2" t="s">
        <v>6</v>
      </c>
      <c r="J3" s="2" t="s">
        <v>3</v>
      </c>
      <c r="K3" s="2" t="s">
        <v>2</v>
      </c>
      <c r="L3" s="2" t="s">
        <v>5</v>
      </c>
      <c r="M3" s="2" t="s">
        <v>6</v>
      </c>
      <c r="O3" s="33" t="s">
        <v>22</v>
      </c>
      <c r="P3" s="33" t="s">
        <v>22</v>
      </c>
      <c r="Q3" s="33" t="s">
        <v>23</v>
      </c>
      <c r="R3" s="33" t="s">
        <v>23</v>
      </c>
      <c r="S3" s="33" t="s">
        <v>23</v>
      </c>
    </row>
    <row r="4" spans="2:19" x14ac:dyDescent="0.25">
      <c r="B4" s="10" t="s">
        <v>15</v>
      </c>
      <c r="C4" s="11"/>
      <c r="D4" s="12">
        <v>650</v>
      </c>
      <c r="E4" s="12">
        <v>434.9</v>
      </c>
      <c r="F4" s="12">
        <v>417.8</v>
      </c>
      <c r="G4" s="12">
        <v>486.6</v>
      </c>
      <c r="H4" s="12">
        <v>701.8</v>
      </c>
      <c r="I4" s="12">
        <v>524.5</v>
      </c>
      <c r="J4" s="12">
        <v>502.2</v>
      </c>
      <c r="K4" s="12">
        <v>569.79999999999995</v>
      </c>
      <c r="L4" s="12">
        <f>L9+L14+L18+L22</f>
        <v>799.65000000000009</v>
      </c>
      <c r="M4" s="12">
        <f>M9+M14+M18+M22</f>
        <v>626.81000000000006</v>
      </c>
      <c r="N4" s="13"/>
      <c r="O4" s="12">
        <f>+O9+O14+O18+O22</f>
        <v>1810</v>
      </c>
      <c r="P4" s="12">
        <f>+P9+P14+P18+P22</f>
        <v>2134.6000000000004</v>
      </c>
      <c r="Q4" s="12">
        <f>+Q9+Q14+Q18+Q22</f>
        <v>2498.46</v>
      </c>
      <c r="R4" s="12">
        <f>+R9+R14+R18+R22</f>
        <v>2951.5783000000001</v>
      </c>
      <c r="S4" s="12">
        <f>+S9+S14+S18+S22</f>
        <v>3416.4503700000005</v>
      </c>
    </row>
    <row r="5" spans="2:19" x14ac:dyDescent="0.25">
      <c r="B5" s="59" t="s">
        <v>10</v>
      </c>
      <c r="C5" s="60"/>
      <c r="D5" s="60"/>
      <c r="E5" s="61"/>
      <c r="F5" s="61"/>
      <c r="G5" s="61"/>
      <c r="H5" s="63">
        <f t="shared" ref="H5:M5" si="0">+H4/D4-1</f>
        <v>7.9692307692307729E-2</v>
      </c>
      <c r="I5" s="63">
        <f t="shared" si="0"/>
        <v>0.2060243734191769</v>
      </c>
      <c r="J5" s="63">
        <f t="shared" si="0"/>
        <v>0.20201053135471514</v>
      </c>
      <c r="K5" s="63">
        <f t="shared" si="0"/>
        <v>0.17098232634607458</v>
      </c>
      <c r="L5" s="63">
        <f t="shared" si="0"/>
        <v>0.1394271872328301</v>
      </c>
      <c r="M5" s="63">
        <f t="shared" si="0"/>
        <v>0.19506196377502394</v>
      </c>
      <c r="N5" s="60"/>
      <c r="O5" s="60"/>
      <c r="P5" s="63">
        <f>+P4/O4-1</f>
        <v>0.17933701657458578</v>
      </c>
      <c r="Q5" s="63">
        <f>+Q4/P4-1</f>
        <v>0.17045816546425541</v>
      </c>
      <c r="R5" s="63">
        <f>+R4/Q4-1</f>
        <v>0.18135903716689494</v>
      </c>
      <c r="S5" s="63">
        <f>+S4/R4-1</f>
        <v>0.15749948764699906</v>
      </c>
    </row>
    <row r="6" spans="2:19" x14ac:dyDescent="0.25">
      <c r="B6" s="59" t="s">
        <v>11</v>
      </c>
      <c r="C6" s="60"/>
      <c r="D6" s="60"/>
      <c r="E6" s="61"/>
      <c r="F6" s="61"/>
      <c r="G6" s="61"/>
      <c r="H6" s="63">
        <v>4.4999999999999998E-2</v>
      </c>
      <c r="I6" s="63">
        <v>0.20599999999999999</v>
      </c>
      <c r="J6" s="63">
        <v>0.245</v>
      </c>
      <c r="K6" s="63">
        <v>0.253</v>
      </c>
      <c r="L6" s="63"/>
      <c r="M6" s="63"/>
      <c r="N6" s="60"/>
      <c r="O6" s="60"/>
      <c r="P6" s="63">
        <v>0.19800000000000001</v>
      </c>
      <c r="Q6" s="5"/>
    </row>
    <row r="7" spans="2:19" x14ac:dyDescent="0.25">
      <c r="D7" s="2"/>
      <c r="E7" s="2"/>
      <c r="F7" s="2"/>
      <c r="G7" s="2"/>
      <c r="H7" s="2"/>
      <c r="I7" s="2"/>
      <c r="J7" s="2"/>
      <c r="K7" s="2"/>
      <c r="L7" s="2"/>
      <c r="M7" s="2"/>
    </row>
    <row r="8" spans="2:19" x14ac:dyDescent="0.25">
      <c r="B8" s="24" t="s">
        <v>24</v>
      </c>
      <c r="C8" s="14"/>
      <c r="D8" s="21"/>
      <c r="E8" s="21"/>
      <c r="F8" s="21"/>
      <c r="G8" s="21"/>
      <c r="H8" s="21"/>
      <c r="I8" s="21"/>
      <c r="J8" s="21"/>
      <c r="K8" s="21"/>
      <c r="L8" s="21"/>
      <c r="M8" s="21"/>
      <c r="O8" s="14"/>
      <c r="P8" s="14"/>
      <c r="Q8" s="14"/>
      <c r="R8" s="14"/>
      <c r="S8" s="14"/>
    </row>
    <row r="9" spans="2:19" x14ac:dyDescent="0.25">
      <c r="B9" s="16" t="s">
        <v>0</v>
      </c>
      <c r="C9" s="14"/>
      <c r="D9" s="15" t="s">
        <v>20</v>
      </c>
      <c r="E9" s="15">
        <v>26.1</v>
      </c>
      <c r="F9" s="15">
        <v>42.6</v>
      </c>
      <c r="G9" s="15">
        <v>56</v>
      </c>
      <c r="H9" s="15">
        <v>64.2</v>
      </c>
      <c r="I9" s="15">
        <v>100.2</v>
      </c>
      <c r="J9" s="15">
        <v>113</v>
      </c>
      <c r="K9" s="15">
        <v>157</v>
      </c>
      <c r="L9" s="15">
        <f>+H9+L12</f>
        <v>139.19999999999999</v>
      </c>
      <c r="M9" s="15">
        <f>+I9+M12</f>
        <v>175.2</v>
      </c>
      <c r="O9" s="15">
        <v>26.1</v>
      </c>
      <c r="P9" s="15">
        <v>267</v>
      </c>
      <c r="Q9" s="15">
        <f>+SUM(J9:M9)</f>
        <v>584.4</v>
      </c>
      <c r="R9" s="15">
        <f>+Q9+R12</f>
        <v>904.4</v>
      </c>
      <c r="S9" s="15">
        <f>+R9+S12</f>
        <v>1224.4000000000001</v>
      </c>
    </row>
    <row r="10" spans="2:19" x14ac:dyDescent="0.25">
      <c r="B10" s="34" t="s">
        <v>10</v>
      </c>
      <c r="C10" s="14"/>
      <c r="D10" s="14"/>
      <c r="E10" s="14"/>
      <c r="F10" s="14"/>
      <c r="G10" s="14"/>
      <c r="H10" s="14"/>
      <c r="I10" s="17">
        <f>+I9/E9-1</f>
        <v>2.8390804597701149</v>
      </c>
      <c r="J10" s="17">
        <f>+J9/F9-1</f>
        <v>1.652582159624413</v>
      </c>
      <c r="K10" s="17">
        <f>+K9/G9-1</f>
        <v>1.8035714285714284</v>
      </c>
      <c r="L10" s="17">
        <f>+L9/H9-1</f>
        <v>1.1682242990654204</v>
      </c>
      <c r="M10" s="17">
        <f>+M9/I9-1</f>
        <v>0.74850299401197584</v>
      </c>
      <c r="O10" s="14"/>
      <c r="P10" s="17" t="s">
        <v>16</v>
      </c>
      <c r="Q10" s="17">
        <f>+Q9/P9-1</f>
        <v>1.1887640449438202</v>
      </c>
      <c r="R10" s="17">
        <f>+R9/Q9-1</f>
        <v>0.54757015742642023</v>
      </c>
      <c r="S10" s="17">
        <f>+S9/R9-1</f>
        <v>0.35382574082264506</v>
      </c>
    </row>
    <row r="11" spans="2:19" x14ac:dyDescent="0.25">
      <c r="B11" s="34" t="s">
        <v>11</v>
      </c>
      <c r="C11" s="14"/>
      <c r="D11" s="14"/>
      <c r="E11" s="14"/>
      <c r="F11" s="14"/>
      <c r="G11" s="14"/>
      <c r="H11" s="14"/>
      <c r="I11" s="17">
        <v>2.6749999999999998</v>
      </c>
      <c r="J11" s="17">
        <v>1.71</v>
      </c>
      <c r="K11" s="17">
        <v>2.0230000000000001</v>
      </c>
      <c r="L11" s="17">
        <f>(H9+L12)/H9-1</f>
        <v>1.1682242990654204</v>
      </c>
      <c r="M11" s="17">
        <f>(I9+M12)/I9-1</f>
        <v>0.74850299401197584</v>
      </c>
      <c r="O11" s="14"/>
      <c r="P11" s="14"/>
      <c r="Q11" s="17">
        <f>(J11*F9+G9*K11+H9*L11+I9*M11)/P9</f>
        <v>1.2589288389513109</v>
      </c>
      <c r="R11" s="17">
        <f>+R9/Q9-1</f>
        <v>0.54757015742642023</v>
      </c>
      <c r="S11" s="17">
        <f>+S9/R9-1</f>
        <v>0.35382574082264506</v>
      </c>
    </row>
    <row r="12" spans="2:19" x14ac:dyDescent="0.25">
      <c r="B12" s="34" t="s">
        <v>12</v>
      </c>
      <c r="C12" s="14"/>
      <c r="D12" s="14"/>
      <c r="E12" s="14"/>
      <c r="F12" s="14"/>
      <c r="G12" s="14"/>
      <c r="H12" s="14"/>
      <c r="I12" s="18">
        <f>+I11*(1+E9)</f>
        <v>72.492499999999993</v>
      </c>
      <c r="J12" s="18">
        <f>+J11*(1+F9)</f>
        <v>74.555999999999997</v>
      </c>
      <c r="K12" s="18">
        <f>+K11*(1+G9)</f>
        <v>115.31100000000001</v>
      </c>
      <c r="L12" s="19">
        <v>75</v>
      </c>
      <c r="M12" s="19">
        <v>75</v>
      </c>
      <c r="O12" s="14"/>
      <c r="P12" s="14"/>
      <c r="Q12" s="18">
        <f>+Q9-P9</f>
        <v>317.39999999999998</v>
      </c>
      <c r="R12" s="19">
        <v>320</v>
      </c>
      <c r="S12" s="19">
        <v>320</v>
      </c>
    </row>
    <row r="13" spans="2:19" x14ac:dyDescent="0.25">
      <c r="B13" s="16"/>
      <c r="C13" s="14"/>
      <c r="D13" s="14"/>
      <c r="E13" s="14"/>
      <c r="F13" s="14"/>
      <c r="G13" s="14"/>
      <c r="H13" s="14"/>
      <c r="I13" s="14"/>
      <c r="J13" s="14"/>
      <c r="K13" s="20"/>
      <c r="L13" s="14"/>
      <c r="M13" s="14"/>
      <c r="O13" s="14"/>
      <c r="P13" s="14"/>
      <c r="Q13" s="14"/>
      <c r="R13" s="14"/>
      <c r="S13" s="14"/>
    </row>
    <row r="14" spans="2:19" x14ac:dyDescent="0.25">
      <c r="B14" s="16" t="s">
        <v>7</v>
      </c>
      <c r="C14" s="14"/>
      <c r="D14" s="15">
        <v>524.9</v>
      </c>
      <c r="E14" s="15">
        <v>306.3</v>
      </c>
      <c r="F14" s="15">
        <v>290.5</v>
      </c>
      <c r="G14" s="15">
        <v>319.8</v>
      </c>
      <c r="H14" s="15">
        <v>506.3</v>
      </c>
      <c r="I14" s="15">
        <v>304.60000000000002</v>
      </c>
      <c r="J14" s="15">
        <v>290.3</v>
      </c>
      <c r="K14" s="15">
        <v>305.39999999999998</v>
      </c>
      <c r="L14" s="15">
        <f>H14*(1+L15)</f>
        <v>521.48900000000003</v>
      </c>
      <c r="M14" s="15">
        <f>I14*(1+M15)</f>
        <v>319.83000000000004</v>
      </c>
      <c r="O14" s="15">
        <v>1389.2</v>
      </c>
      <c r="P14" s="15">
        <v>1421.2</v>
      </c>
      <c r="Q14" s="15">
        <f>+SUM(J14:M14)</f>
        <v>1437.0190000000002</v>
      </c>
      <c r="R14" s="15">
        <f>+Q14*(1+R16)</f>
        <v>1508.8699500000002</v>
      </c>
      <c r="S14" s="15">
        <f>+R14*(1+S16)</f>
        <v>1584.3134475000004</v>
      </c>
    </row>
    <row r="15" spans="2:19" x14ac:dyDescent="0.25">
      <c r="B15" s="34" t="s">
        <v>10</v>
      </c>
      <c r="C15" s="14"/>
      <c r="D15" s="21"/>
      <c r="E15" s="21"/>
      <c r="F15" s="21"/>
      <c r="G15" s="21"/>
      <c r="H15" s="17">
        <f>+H14/D14-1</f>
        <v>-3.5435321013526311E-2</v>
      </c>
      <c r="I15" s="17">
        <f>+I14/E14-1</f>
        <v>-5.5501142670584258E-3</v>
      </c>
      <c r="J15" s="17">
        <f>+J14/F14-1</f>
        <v>-6.8846815834766595E-4</v>
      </c>
      <c r="K15" s="17">
        <f>+K14/G14-1</f>
        <v>-4.5028142589118358E-2</v>
      </c>
      <c r="L15" s="22">
        <f>L16+0</f>
        <v>0.03</v>
      </c>
      <c r="M15" s="22">
        <f>M16+0</f>
        <v>0.05</v>
      </c>
      <c r="O15" s="14"/>
      <c r="P15" s="17">
        <f>+P14/O14-1</f>
        <v>2.3034840195796047E-2</v>
      </c>
      <c r="Q15" s="17">
        <f>+Q14/P14-1</f>
        <v>1.1130734590486968E-2</v>
      </c>
      <c r="R15" s="17">
        <f t="shared" ref="R15:S15" si="1">+R14/Q14-1</f>
        <v>5.0000000000000044E-2</v>
      </c>
      <c r="S15" s="17">
        <f t="shared" si="1"/>
        <v>5.0000000000000044E-2</v>
      </c>
    </row>
    <row r="16" spans="2:19" x14ac:dyDescent="0.25">
      <c r="B16" s="34" t="s">
        <v>11</v>
      </c>
      <c r="C16" s="14"/>
      <c r="D16" s="21"/>
      <c r="E16" s="21"/>
      <c r="F16" s="21"/>
      <c r="G16" s="21"/>
      <c r="H16" s="21"/>
      <c r="I16" s="17">
        <v>8.0000000000000002E-3</v>
      </c>
      <c r="J16" s="17">
        <v>4.3999999999999997E-2</v>
      </c>
      <c r="K16" s="17">
        <v>-2.8000000000000001E-2</v>
      </c>
      <c r="L16" s="23">
        <v>0.03</v>
      </c>
      <c r="M16" s="23">
        <v>0.05</v>
      </c>
      <c r="O16" s="14"/>
      <c r="P16" s="17">
        <v>-5.0000000000000001E-3</v>
      </c>
      <c r="Q16" s="17">
        <f>(J16*F14+G14*K16+H14*L16+I14*M16)/P14</f>
        <v>2.4096960315226568E-2</v>
      </c>
      <c r="R16" s="23">
        <v>0.05</v>
      </c>
      <c r="S16" s="23">
        <v>0.05</v>
      </c>
    </row>
    <row r="17" spans="2:19" x14ac:dyDescent="0.25">
      <c r="B17" s="34"/>
      <c r="C17" s="14"/>
      <c r="D17" s="21"/>
      <c r="E17" s="21"/>
      <c r="F17" s="21"/>
      <c r="G17" s="21"/>
      <c r="H17" s="21"/>
      <c r="I17" s="21"/>
      <c r="J17" s="21"/>
      <c r="K17" s="21"/>
      <c r="L17" s="21"/>
      <c r="M17" s="21"/>
      <c r="O17" s="14"/>
      <c r="P17" s="14"/>
      <c r="Q17" s="14"/>
      <c r="R17" s="14"/>
      <c r="S17" s="14"/>
    </row>
    <row r="18" spans="2:19" x14ac:dyDescent="0.25">
      <c r="B18" s="16" t="s">
        <v>8</v>
      </c>
      <c r="C18" s="14"/>
      <c r="D18" s="15">
        <v>76.400000000000006</v>
      </c>
      <c r="E18" s="15">
        <v>63.2</v>
      </c>
      <c r="F18" s="15">
        <v>40.299999999999997</v>
      </c>
      <c r="G18" s="15">
        <v>64.8</v>
      </c>
      <c r="H18" s="15">
        <v>76.5</v>
      </c>
      <c r="I18" s="15">
        <v>74.400000000000006</v>
      </c>
      <c r="J18" s="15">
        <v>48.4</v>
      </c>
      <c r="K18" s="15">
        <v>60.7</v>
      </c>
      <c r="L18" s="15">
        <f>H18*(1+L19)</f>
        <v>80.325000000000003</v>
      </c>
      <c r="M18" s="15">
        <f>I18*(1+M19)</f>
        <v>81.840000000000018</v>
      </c>
      <c r="O18" s="15">
        <v>226.3</v>
      </c>
      <c r="P18" s="15">
        <v>255.9</v>
      </c>
      <c r="Q18" s="15">
        <f>+SUM(J18:M18)</f>
        <v>271.26500000000004</v>
      </c>
      <c r="R18" s="15">
        <f>+Q18*(1+R20)</f>
        <v>311.95475000000005</v>
      </c>
      <c r="S18" s="15">
        <f>+R18*(1+S20)</f>
        <v>358.74796250000003</v>
      </c>
    </row>
    <row r="19" spans="2:19" x14ac:dyDescent="0.25">
      <c r="B19" s="34" t="s">
        <v>10</v>
      </c>
      <c r="C19" s="14"/>
      <c r="D19" s="21"/>
      <c r="E19" s="21"/>
      <c r="F19" s="21"/>
      <c r="G19" s="21"/>
      <c r="H19" s="17">
        <f>+H18/D18-1</f>
        <v>1.3089005235600304E-3</v>
      </c>
      <c r="I19" s="17">
        <f>+I18/E18-1</f>
        <v>0.17721518987341778</v>
      </c>
      <c r="J19" s="17">
        <f>+J18/F18-1</f>
        <v>0.20099255583126552</v>
      </c>
      <c r="K19" s="17">
        <f>+K18/G18-1</f>
        <v>-6.3271604938271553E-2</v>
      </c>
      <c r="L19" s="22">
        <f>L20+0</f>
        <v>0.05</v>
      </c>
      <c r="M19" s="22">
        <f>M20+0</f>
        <v>0.1</v>
      </c>
      <c r="O19" s="14"/>
      <c r="P19" s="17">
        <f>+P18/O18-1</f>
        <v>0.13079982324348216</v>
      </c>
      <c r="Q19" s="17">
        <f>+Q18/P18-1</f>
        <v>6.0042985541227223E-2</v>
      </c>
      <c r="R19" s="17">
        <f t="shared" ref="R19:S19" si="2">+R18/Q18-1</f>
        <v>0.14999999999999991</v>
      </c>
      <c r="S19" s="17">
        <f t="shared" si="2"/>
        <v>0.14999999999999991</v>
      </c>
    </row>
    <row r="20" spans="2:19" x14ac:dyDescent="0.25">
      <c r="B20" s="34" t="s">
        <v>11</v>
      </c>
      <c r="C20" s="14"/>
      <c r="D20" s="21"/>
      <c r="E20" s="21"/>
      <c r="F20" s="21"/>
      <c r="G20" s="21"/>
      <c r="H20" s="17">
        <v>-3.4000000000000002E-2</v>
      </c>
      <c r="I20" s="17">
        <v>0.18099999999999999</v>
      </c>
      <c r="J20" s="17">
        <v>0.23599999999999999</v>
      </c>
      <c r="K20" s="17">
        <v>-2.4E-2</v>
      </c>
      <c r="L20" s="23">
        <v>0.05</v>
      </c>
      <c r="M20" s="23">
        <v>0.1</v>
      </c>
      <c r="O20" s="14"/>
      <c r="P20" s="17">
        <v>8.8999999999999996E-2</v>
      </c>
      <c r="Q20" s="17">
        <f>(J20*F18+G18*K20+H18*L20+I18*M20)/P18</f>
        <v>7.5109808518952714E-2</v>
      </c>
      <c r="R20" s="23">
        <v>0.15</v>
      </c>
      <c r="S20" s="23">
        <v>0.15</v>
      </c>
    </row>
    <row r="21" spans="2:19" x14ac:dyDescent="0.25">
      <c r="B21" s="34"/>
      <c r="C21" s="14"/>
      <c r="D21" s="21"/>
      <c r="E21" s="21"/>
      <c r="F21" s="21"/>
      <c r="G21" s="21"/>
      <c r="H21" s="21"/>
      <c r="I21" s="21"/>
      <c r="J21" s="21"/>
      <c r="K21" s="21"/>
      <c r="L21" s="21"/>
      <c r="M21" s="21"/>
      <c r="O21" s="14"/>
      <c r="P21" s="21"/>
      <c r="Q21" s="14"/>
      <c r="R21" s="14"/>
      <c r="S21" s="14"/>
    </row>
    <row r="22" spans="2:19" x14ac:dyDescent="0.25">
      <c r="B22" s="16" t="s">
        <v>9</v>
      </c>
      <c r="C22" s="14"/>
      <c r="D22" s="15">
        <v>48.7</v>
      </c>
      <c r="E22" s="15">
        <v>39.4</v>
      </c>
      <c r="F22" s="15">
        <v>44.5</v>
      </c>
      <c r="G22" s="15">
        <f>G4-G9-G14-G18</f>
        <v>46.000000000000014</v>
      </c>
      <c r="H22" s="15">
        <v>54.8</v>
      </c>
      <c r="I22" s="15">
        <v>45.4</v>
      </c>
      <c r="J22" s="15">
        <v>50.5</v>
      </c>
      <c r="K22" s="15">
        <f>K4-K9-K14-K18</f>
        <v>46.699999999999974</v>
      </c>
      <c r="L22" s="15">
        <f>H22*(1+L23)</f>
        <v>58.636000000000003</v>
      </c>
      <c r="M22" s="15">
        <f>I22*(1+M23)</f>
        <v>49.940000000000005</v>
      </c>
      <c r="O22" s="15">
        <v>168.4</v>
      </c>
      <c r="P22" s="15">
        <v>190.5</v>
      </c>
      <c r="Q22" s="15">
        <f>+SUM(J22:M22)</f>
        <v>205.77599999999998</v>
      </c>
      <c r="R22" s="15">
        <f>+Q22*(1+R24)</f>
        <v>226.3536</v>
      </c>
      <c r="S22" s="15">
        <f>+R22*(1+S24)</f>
        <v>248.98896000000002</v>
      </c>
    </row>
    <row r="23" spans="2:19" x14ac:dyDescent="0.25">
      <c r="B23" s="34" t="s">
        <v>10</v>
      </c>
      <c r="C23" s="14"/>
      <c r="D23" s="21"/>
      <c r="E23" s="21"/>
      <c r="F23" s="21"/>
      <c r="G23" s="21"/>
      <c r="H23" s="17">
        <f>+H22/D22-1</f>
        <v>0.12525667351129344</v>
      </c>
      <c r="I23" s="17">
        <f>+I22/E22-1</f>
        <v>0.15228426395939088</v>
      </c>
      <c r="J23" s="17">
        <f>+J22/F22-1</f>
        <v>0.13483146067415741</v>
      </c>
      <c r="K23" s="17">
        <f>+K22/G22-1</f>
        <v>1.5217391304346961E-2</v>
      </c>
      <c r="L23" s="22">
        <f>L24+0</f>
        <v>7.0000000000000007E-2</v>
      </c>
      <c r="M23" s="22">
        <f>M24+0</f>
        <v>0.1</v>
      </c>
      <c r="O23" s="14"/>
      <c r="P23" s="17">
        <f>+P22/O22-1</f>
        <v>0.13123515439429934</v>
      </c>
      <c r="Q23" s="17">
        <f>+Q22/P22-1</f>
        <v>8.0188976377952637E-2</v>
      </c>
      <c r="R23" s="17">
        <f t="shared" ref="R23:S23" si="3">+R22/Q22-1</f>
        <v>0.10000000000000009</v>
      </c>
      <c r="S23" s="17">
        <f t="shared" si="3"/>
        <v>0.10000000000000009</v>
      </c>
    </row>
    <row r="24" spans="2:19" x14ac:dyDescent="0.25">
      <c r="B24" s="34" t="s">
        <v>11</v>
      </c>
      <c r="C24" s="14"/>
      <c r="D24" s="21"/>
      <c r="E24" s="21"/>
      <c r="F24" s="21"/>
      <c r="G24" s="21"/>
      <c r="H24" s="17">
        <v>6.6000000000000003E-2</v>
      </c>
      <c r="I24" s="17">
        <v>0.14299999999999999</v>
      </c>
      <c r="J24" s="17">
        <v>0.16200000000000001</v>
      </c>
      <c r="K24" s="17">
        <v>5.3999999999999999E-2</v>
      </c>
      <c r="L24" s="23">
        <v>7.0000000000000007E-2</v>
      </c>
      <c r="M24" s="23">
        <v>0.1</v>
      </c>
      <c r="O24" s="14"/>
      <c r="P24" s="17">
        <v>7.2999999999999995E-2</v>
      </c>
      <c r="Q24" s="17">
        <f>(J24*F22+G22*K24+H22*L24+I22*M24)/P22</f>
        <v>9.4850393700787419E-2</v>
      </c>
      <c r="R24" s="23">
        <v>0.1</v>
      </c>
      <c r="S24" s="23">
        <v>0.1</v>
      </c>
    </row>
    <row r="25" spans="2:19" x14ac:dyDescent="0.2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9" x14ac:dyDescent="0.25">
      <c r="B26" s="3" t="s">
        <v>27</v>
      </c>
      <c r="D26" s="2"/>
      <c r="E26" s="2"/>
      <c r="F26" s="2"/>
      <c r="G26" s="2"/>
      <c r="H26" s="2"/>
      <c r="I26" s="2"/>
      <c r="J26" s="2"/>
      <c r="K26" s="2"/>
      <c r="L26" s="2"/>
      <c r="M26" s="2"/>
      <c r="O26" s="8">
        <f>O4-O31</f>
        <v>1501.8</v>
      </c>
      <c r="P26" s="8">
        <f>P4-P31</f>
        <v>1797.8000000000004</v>
      </c>
      <c r="Q26" s="8">
        <f>Q4-Q31</f>
        <v>2183.9533499999998</v>
      </c>
      <c r="R26" s="8">
        <f>R4-R31</f>
        <v>2507.955406</v>
      </c>
      <c r="S26" s="8">
        <f>S4-S31</f>
        <v>2846.9437299000006</v>
      </c>
    </row>
    <row r="27" spans="2:19" x14ac:dyDescent="0.25">
      <c r="B27" s="59" t="s">
        <v>10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0"/>
      <c r="O27" s="62"/>
      <c r="P27" s="63">
        <f>P26/O26-1</f>
        <v>0.19709681715275029</v>
      </c>
      <c r="Q27" s="63">
        <f>Q26/P26-1</f>
        <v>0.21479216264323031</v>
      </c>
      <c r="R27" s="63">
        <f>R26/Q26-1</f>
        <v>0.14835575860629091</v>
      </c>
      <c r="S27" s="63">
        <f>S26/R26-1</f>
        <v>0.1351652119048885</v>
      </c>
    </row>
    <row r="28" spans="2:19" x14ac:dyDescent="0.2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9" x14ac:dyDescent="0.25">
      <c r="B29" s="65" t="s">
        <v>57</v>
      </c>
      <c r="D29" s="2"/>
      <c r="E29" s="2"/>
      <c r="F29" s="2"/>
      <c r="G29" s="2"/>
      <c r="H29" s="2"/>
      <c r="I29" s="2"/>
      <c r="J29" s="2"/>
      <c r="K29" s="2"/>
      <c r="L29" s="2"/>
      <c r="M29" s="2"/>
      <c r="O29" s="8">
        <v>0</v>
      </c>
      <c r="P29" s="8">
        <v>0</v>
      </c>
      <c r="Q29" s="66">
        <v>100</v>
      </c>
      <c r="R29" s="67">
        <v>75</v>
      </c>
      <c r="S29" s="67">
        <v>50</v>
      </c>
    </row>
    <row r="30" spans="2:19" x14ac:dyDescent="0.25">
      <c r="B30" s="3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9" x14ac:dyDescent="0.25">
      <c r="B31" s="10" t="s">
        <v>17</v>
      </c>
      <c r="C31" s="11"/>
      <c r="D31" s="13"/>
      <c r="E31" s="12"/>
      <c r="F31" s="12"/>
      <c r="G31" s="12"/>
      <c r="H31" s="12"/>
      <c r="I31" s="12"/>
      <c r="J31" s="12"/>
      <c r="K31" s="12"/>
      <c r="L31" s="12"/>
      <c r="M31" s="12"/>
      <c r="O31" s="12">
        <v>308.2</v>
      </c>
      <c r="P31" s="12">
        <v>336.8</v>
      </c>
      <c r="Q31" s="12">
        <f>(Q9*Q36+Q14*Q37+Q18*Q38+Q22*Q39)-Q29</f>
        <v>314.50665000000009</v>
      </c>
      <c r="R31" s="12">
        <f>(R9*R36+R14*R37+R18*R38+R22*R39)-R29</f>
        <v>443.62289400000009</v>
      </c>
      <c r="S31" s="12">
        <f>(S9*S36+S14*S37+S18*S38+S22*S39)-S29</f>
        <v>569.50664010000003</v>
      </c>
    </row>
    <row r="32" spans="2:19" x14ac:dyDescent="0.25">
      <c r="B32" s="4" t="s">
        <v>21</v>
      </c>
      <c r="E32" s="2"/>
      <c r="F32" s="2"/>
      <c r="G32" s="2"/>
      <c r="H32" s="2"/>
      <c r="I32" s="2"/>
      <c r="J32" s="2"/>
      <c r="K32" s="2"/>
      <c r="L32" s="2"/>
      <c r="M32" s="2"/>
      <c r="O32" s="6">
        <f>+O31/O4</f>
        <v>0.17027624309392264</v>
      </c>
      <c r="P32" s="6">
        <f>+P31/P4</f>
        <v>0.15778131734282769</v>
      </c>
      <c r="Q32" s="6">
        <f>+Q31/Q4</f>
        <v>0.12588020220455803</v>
      </c>
      <c r="R32" s="6">
        <f>+R31/R4</f>
        <v>0.15030022886399458</v>
      </c>
      <c r="S32" s="6">
        <f>+S31/S4</f>
        <v>0.16669542315054908</v>
      </c>
    </row>
    <row r="33" spans="2:19" x14ac:dyDescent="0.25">
      <c r="B33" s="4" t="s">
        <v>26</v>
      </c>
      <c r="E33" s="2"/>
      <c r="F33" s="2"/>
      <c r="G33" s="2"/>
      <c r="H33" s="2"/>
      <c r="I33" s="2"/>
      <c r="J33" s="2"/>
      <c r="K33" s="2"/>
      <c r="L33" s="2"/>
      <c r="M33" s="2"/>
      <c r="O33" s="6"/>
      <c r="P33" s="5">
        <f>+(P31-O31)/(P4-O4)</f>
        <v>8.8108441158348705E-2</v>
      </c>
      <c r="Q33" s="5">
        <f>+(Q31-P31)/(Q4-P4)</f>
        <v>-6.126903204529198E-2</v>
      </c>
      <c r="R33" s="5">
        <f>+(R31-Q31)/(R4-Q4)</f>
        <v>0.2849504069908454</v>
      </c>
      <c r="S33" s="5">
        <f>+(S31-R31)/(S4-R4)</f>
        <v>0.27079223344177217</v>
      </c>
    </row>
    <row r="34" spans="2:19" x14ac:dyDescent="0.25">
      <c r="B34" s="9"/>
      <c r="R34" s="7"/>
      <c r="S34" s="7"/>
    </row>
    <row r="35" spans="2:19" x14ac:dyDescent="0.25">
      <c r="B35" s="25" t="s">
        <v>25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O35" s="26"/>
      <c r="P35" s="26"/>
      <c r="Q35" s="26"/>
      <c r="R35" s="28"/>
      <c r="S35" s="28"/>
    </row>
    <row r="36" spans="2:19" x14ac:dyDescent="0.25">
      <c r="B36" s="35" t="s">
        <v>0</v>
      </c>
      <c r="C36" s="26"/>
      <c r="D36" s="26"/>
      <c r="E36" s="29"/>
      <c r="F36" s="29"/>
      <c r="G36" s="29"/>
      <c r="H36" s="29"/>
      <c r="I36" s="29"/>
      <c r="J36" s="29"/>
      <c r="K36" s="29"/>
      <c r="L36" s="29"/>
      <c r="M36" s="29"/>
      <c r="O36" s="30">
        <v>0.02</v>
      </c>
      <c r="P36" s="30">
        <v>0.246</v>
      </c>
      <c r="Q36" s="28">
        <v>0.23</v>
      </c>
      <c r="R36" s="28">
        <v>0.22</v>
      </c>
      <c r="S36" s="28">
        <v>0.22</v>
      </c>
    </row>
    <row r="37" spans="2:19" x14ac:dyDescent="0.25">
      <c r="B37" s="35" t="s">
        <v>7</v>
      </c>
      <c r="C37" s="26"/>
      <c r="D37" s="26"/>
      <c r="E37" s="29"/>
      <c r="F37" s="29"/>
      <c r="G37" s="29"/>
      <c r="H37" s="29"/>
      <c r="I37" s="29"/>
      <c r="J37" s="29"/>
      <c r="K37" s="29"/>
      <c r="L37" s="29"/>
      <c r="M37" s="29"/>
      <c r="O37" s="30">
        <v>0.19800000000000001</v>
      </c>
      <c r="P37" s="30">
        <v>0.14599999999999999</v>
      </c>
      <c r="Q37" s="28">
        <v>0.15</v>
      </c>
      <c r="R37" s="28">
        <v>0.16</v>
      </c>
      <c r="S37" s="28">
        <v>0.16</v>
      </c>
    </row>
    <row r="38" spans="2:19" x14ac:dyDescent="0.25">
      <c r="B38" s="35" t="s">
        <v>8</v>
      </c>
      <c r="C38" s="26"/>
      <c r="D38" s="26"/>
      <c r="E38" s="29"/>
      <c r="F38" s="29"/>
      <c r="G38" s="29"/>
      <c r="H38" s="29"/>
      <c r="I38" s="29"/>
      <c r="J38" s="29"/>
      <c r="K38" s="29"/>
      <c r="L38" s="29"/>
      <c r="M38" s="29"/>
      <c r="O38" s="30">
        <v>0.22800000000000001</v>
      </c>
      <c r="P38" s="30">
        <v>0.20200000000000001</v>
      </c>
      <c r="Q38" s="28">
        <v>0.2</v>
      </c>
      <c r="R38" s="28">
        <v>0.2</v>
      </c>
      <c r="S38" s="28">
        <v>0.2</v>
      </c>
    </row>
    <row r="39" spans="2:19" x14ac:dyDescent="0.25">
      <c r="B39" s="35" t="s">
        <v>9</v>
      </c>
      <c r="C39" s="26"/>
      <c r="D39" s="26"/>
      <c r="E39" s="29"/>
      <c r="F39" s="29"/>
      <c r="G39" s="29"/>
      <c r="H39" s="29"/>
      <c r="I39" s="29"/>
      <c r="J39" s="29"/>
      <c r="K39" s="29"/>
      <c r="L39" s="29"/>
      <c r="M39" s="29"/>
      <c r="O39" s="31">
        <f>(O31-(O9*O36+O14*O37+O18*O38))/O22</f>
        <v>-0.11270783847981009</v>
      </c>
      <c r="P39" s="31">
        <f>(P31-(P9*P36+P14*P37+P18*P38))/P22</f>
        <v>6.2629921259842736E-2</v>
      </c>
      <c r="Q39" s="28">
        <v>0.05</v>
      </c>
      <c r="R39" s="32">
        <v>7.0000000000000007E-2</v>
      </c>
      <c r="S39" s="32">
        <v>0.1</v>
      </c>
    </row>
    <row r="41" spans="2:19" x14ac:dyDescent="0.25">
      <c r="B41" s="10" t="s">
        <v>28</v>
      </c>
      <c r="O41" s="12">
        <f>O31*0.75</f>
        <v>231.14999999999998</v>
      </c>
      <c r="P41" s="12">
        <f>P31*0.75</f>
        <v>252.60000000000002</v>
      </c>
      <c r="Q41" s="12">
        <f>Q31*0.75</f>
        <v>235.87998750000008</v>
      </c>
      <c r="R41" s="12">
        <f>R31*0.75</f>
        <v>332.71717050000007</v>
      </c>
      <c r="S41" s="12">
        <f>S31*0.75</f>
        <v>427.12998007500005</v>
      </c>
    </row>
    <row r="42" spans="2:19" x14ac:dyDescent="0.25">
      <c r="B42" s="3" t="s">
        <v>54</v>
      </c>
      <c r="O42" s="48">
        <f>O41/1473</f>
        <v>0.15692464358452138</v>
      </c>
      <c r="P42" s="48">
        <f>P41/1473</f>
        <v>0.1714867617107943</v>
      </c>
      <c r="Q42" s="48">
        <f>Q41/1473</f>
        <v>0.16013576883910394</v>
      </c>
      <c r="R42" s="48">
        <f>R41/1473</f>
        <v>0.2258772372708758</v>
      </c>
      <c r="S42" s="48">
        <f>S41/1473</f>
        <v>0.28997283100814669</v>
      </c>
    </row>
    <row r="43" spans="2:19" x14ac:dyDescent="0.25">
      <c r="B43" s="10" t="s">
        <v>29</v>
      </c>
      <c r="O43" s="36">
        <f>O42*Val!$C$11</f>
        <v>1.3401364562118125</v>
      </c>
      <c r="P43" s="36">
        <f>P42*Val!$C$11</f>
        <v>1.4644969450101832</v>
      </c>
      <c r="Q43" s="36">
        <f>Q42*Val!$C$11</f>
        <v>1.3675594658859476</v>
      </c>
      <c r="R43" s="36">
        <f>R42*Val!$C$11</f>
        <v>1.9289916062932793</v>
      </c>
      <c r="S43" s="36">
        <f>S42*Val!$C$11</f>
        <v>2.4763679768095725</v>
      </c>
    </row>
    <row r="44" spans="2:19" x14ac:dyDescent="0.25">
      <c r="B44" s="3"/>
    </row>
    <row r="45" spans="2:19" x14ac:dyDescent="0.25">
      <c r="B45" s="10" t="s">
        <v>53</v>
      </c>
      <c r="P45" s="8">
        <f>Val!C18</f>
        <v>371.60400000000004</v>
      </c>
      <c r="Q45" s="8">
        <f>P45-Q41</f>
        <v>135.72401249999996</v>
      </c>
      <c r="R45" s="8">
        <f>Q45-R41</f>
        <v>-196.99315800000011</v>
      </c>
      <c r="S45" s="8">
        <f>R45-S41</f>
        <v>-624.12313807500016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11C0A-326E-4F68-94D1-04E79D0820F3}">
  <dimension ref="B3:G32"/>
  <sheetViews>
    <sheetView showGridLines="0" zoomScaleNormal="100" workbookViewId="0"/>
  </sheetViews>
  <sheetFormatPr defaultRowHeight="15" x14ac:dyDescent="0.25"/>
  <cols>
    <col min="2" max="2" width="32.28515625" customWidth="1"/>
    <col min="3" max="3" width="15.85546875" customWidth="1"/>
    <col min="4" max="4" width="12.42578125" customWidth="1"/>
    <col min="5" max="5" width="31.85546875" customWidth="1"/>
    <col min="6" max="6" width="12.140625" customWidth="1"/>
    <col min="7" max="7" width="13.28515625" customWidth="1"/>
  </cols>
  <sheetData>
    <row r="3" spans="2:7" x14ac:dyDescent="0.25">
      <c r="B3" s="69" t="s">
        <v>34</v>
      </c>
      <c r="C3" s="70"/>
      <c r="E3" s="69" t="s">
        <v>39</v>
      </c>
      <c r="F3" s="71"/>
      <c r="G3" s="70"/>
    </row>
    <row r="4" spans="2:7" x14ac:dyDescent="0.25">
      <c r="B4" s="37"/>
      <c r="C4" s="1"/>
      <c r="E4" s="37"/>
      <c r="F4" s="38"/>
    </row>
    <row r="5" spans="2:7" x14ac:dyDescent="0.25">
      <c r="B5" s="3" t="s">
        <v>30</v>
      </c>
      <c r="C5" s="38">
        <v>45254</v>
      </c>
      <c r="E5" s="10" t="s">
        <v>48</v>
      </c>
      <c r="G5" s="52">
        <f>Model!Q31</f>
        <v>314.50665000000009</v>
      </c>
    </row>
    <row r="6" spans="2:7" x14ac:dyDescent="0.25">
      <c r="B6" s="1"/>
      <c r="C6" s="1"/>
      <c r="E6" s="3" t="s">
        <v>43</v>
      </c>
      <c r="G6" s="43">
        <f>C16/G5</f>
        <v>12.102944274839317</v>
      </c>
    </row>
    <row r="7" spans="2:7" x14ac:dyDescent="0.25">
      <c r="B7" s="3" t="s">
        <v>35</v>
      </c>
      <c r="C7" s="49">
        <v>19.739999999999998</v>
      </c>
      <c r="E7" s="1"/>
      <c r="G7" s="43"/>
    </row>
    <row r="8" spans="2:7" x14ac:dyDescent="0.25">
      <c r="B8" s="39" t="s">
        <v>31</v>
      </c>
      <c r="C8" s="40">
        <f>1473+13</f>
        <v>1486</v>
      </c>
      <c r="E8" s="10" t="s">
        <v>49</v>
      </c>
      <c r="G8" s="52">
        <f>Model!R31</f>
        <v>443.62289400000009</v>
      </c>
    </row>
    <row r="9" spans="2:7" x14ac:dyDescent="0.25">
      <c r="B9" s="10" t="s">
        <v>32</v>
      </c>
      <c r="C9" s="51">
        <f>+C7*C8</f>
        <v>29333.64</v>
      </c>
      <c r="E9" s="3" t="s">
        <v>44</v>
      </c>
      <c r="G9" s="43">
        <f>C16/G8</f>
        <v>8.5803877809254647</v>
      </c>
    </row>
    <row r="11" spans="2:7" x14ac:dyDescent="0.25">
      <c r="B11" s="3" t="s">
        <v>19</v>
      </c>
      <c r="C11" s="49">
        <v>8.5399999999999991</v>
      </c>
      <c r="E11" s="10" t="s">
        <v>50</v>
      </c>
      <c r="G11" s="50">
        <f>Model!Q43</f>
        <v>1.3675594658859476</v>
      </c>
    </row>
    <row r="12" spans="2:7" x14ac:dyDescent="0.25">
      <c r="E12" s="3" t="s">
        <v>52</v>
      </c>
      <c r="G12" s="43">
        <f>C7/G11</f>
        <v>14.434472863826665</v>
      </c>
    </row>
    <row r="13" spans="2:7" x14ac:dyDescent="0.25">
      <c r="B13" s="10" t="s">
        <v>32</v>
      </c>
      <c r="C13" s="52">
        <f>C9/C11</f>
        <v>3434.8524590163938</v>
      </c>
    </row>
    <row r="14" spans="2:7" x14ac:dyDescent="0.25">
      <c r="B14" s="3" t="s">
        <v>37</v>
      </c>
      <c r="C14" s="53">
        <v>147.255</v>
      </c>
      <c r="E14" s="10" t="s">
        <v>51</v>
      </c>
      <c r="G14" s="50">
        <f>Model!R43</f>
        <v>1.9289916062932793</v>
      </c>
    </row>
    <row r="15" spans="2:7" x14ac:dyDescent="0.25">
      <c r="B15" s="39" t="s">
        <v>36</v>
      </c>
      <c r="C15" s="54">
        <f>324.819+194.04</f>
        <v>518.85900000000004</v>
      </c>
      <c r="E15" s="3" t="s">
        <v>45</v>
      </c>
      <c r="G15" s="43">
        <f>C7/G14</f>
        <v>10.233326021533127</v>
      </c>
    </row>
    <row r="16" spans="2:7" x14ac:dyDescent="0.25">
      <c r="B16" s="10" t="s">
        <v>33</v>
      </c>
      <c r="C16" s="52">
        <f>C13-C14+C15</f>
        <v>3806.4564590163936</v>
      </c>
    </row>
    <row r="17" spans="2:7" x14ac:dyDescent="0.25">
      <c r="E17" s="10" t="s">
        <v>61</v>
      </c>
      <c r="G17" s="50">
        <f>Model!S43</f>
        <v>2.4763679768095725</v>
      </c>
    </row>
    <row r="18" spans="2:7" x14ac:dyDescent="0.25">
      <c r="B18" s="3" t="s">
        <v>38</v>
      </c>
      <c r="C18" s="53">
        <f>C15-C14</f>
        <v>371.60400000000004</v>
      </c>
      <c r="E18" s="3" t="s">
        <v>62</v>
      </c>
      <c r="G18" s="43">
        <f>C7/G17</f>
        <v>7.9713516669812607</v>
      </c>
    </row>
    <row r="19" spans="2:7" x14ac:dyDescent="0.25">
      <c r="B19" s="3"/>
      <c r="C19" s="41"/>
    </row>
    <row r="20" spans="2:7" x14ac:dyDescent="0.25">
      <c r="B20" s="3" t="s">
        <v>55</v>
      </c>
      <c r="C20" s="53">
        <f>466-87</f>
        <v>379</v>
      </c>
      <c r="E20" s="69" t="s">
        <v>40</v>
      </c>
      <c r="F20" s="71"/>
      <c r="G20" s="70"/>
    </row>
    <row r="21" spans="2:7" x14ac:dyDescent="0.25">
      <c r="B21" s="3" t="s">
        <v>56</v>
      </c>
      <c r="C21" s="43">
        <f>C18/C20</f>
        <v>0.98048548812664915</v>
      </c>
      <c r="E21" s="3"/>
      <c r="F21" s="1"/>
    </row>
    <row r="22" spans="2:7" x14ac:dyDescent="0.25">
      <c r="B22" s="3"/>
      <c r="C22" s="42"/>
      <c r="F22" s="33" t="s">
        <v>59</v>
      </c>
      <c r="G22" s="33" t="s">
        <v>60</v>
      </c>
    </row>
    <row r="23" spans="2:7" x14ac:dyDescent="0.25">
      <c r="B23" s="3"/>
      <c r="C23" s="64"/>
      <c r="E23" s="10" t="s">
        <v>58</v>
      </c>
      <c r="F23" s="55">
        <v>20</v>
      </c>
      <c r="G23" s="55">
        <v>20</v>
      </c>
    </row>
    <row r="24" spans="2:7" x14ac:dyDescent="0.25">
      <c r="B24" s="3"/>
      <c r="C24" s="43"/>
      <c r="E24" s="57" t="s">
        <v>41</v>
      </c>
      <c r="F24" s="58">
        <f>G14*F23</f>
        <v>38.579832125865586</v>
      </c>
      <c r="G24" s="58">
        <f>G17*G23</f>
        <v>49.527359536191454</v>
      </c>
    </row>
    <row r="25" spans="2:7" x14ac:dyDescent="0.25">
      <c r="B25" s="1"/>
      <c r="C25" s="1"/>
      <c r="E25" s="4" t="s">
        <v>42</v>
      </c>
      <c r="F25" s="5">
        <f>F24/$C$7-1</f>
        <v>0.95439879057069854</v>
      </c>
      <c r="G25" s="5">
        <f>G24/$C$7-1</f>
        <v>1.5089847789357376</v>
      </c>
    </row>
    <row r="26" spans="2:7" x14ac:dyDescent="0.25">
      <c r="B26" s="3"/>
      <c r="C26" s="44"/>
    </row>
    <row r="27" spans="2:7" x14ac:dyDescent="0.25">
      <c r="B27" s="1"/>
      <c r="C27" s="1"/>
      <c r="E27" s="10" t="s">
        <v>46</v>
      </c>
      <c r="F27" s="52">
        <f>F24*$C$8/$C$11</f>
        <v>6713.071491690429</v>
      </c>
      <c r="G27" s="52">
        <f>G24*$C$8/$C$11</f>
        <v>8617.9925375621206</v>
      </c>
    </row>
    <row r="28" spans="2:7" x14ac:dyDescent="0.25">
      <c r="B28" s="3"/>
      <c r="C28" s="45"/>
      <c r="E28" s="56" t="s">
        <v>63</v>
      </c>
      <c r="F28" s="54">
        <f>Model!Q45</f>
        <v>135.72401249999996</v>
      </c>
      <c r="G28" s="54">
        <f>Model!R45</f>
        <v>-196.99315800000011</v>
      </c>
    </row>
    <row r="29" spans="2:7" x14ac:dyDescent="0.25">
      <c r="B29" s="46"/>
      <c r="C29" s="47"/>
      <c r="E29" s="10" t="s">
        <v>33</v>
      </c>
      <c r="F29" s="52">
        <f>F27+F28</f>
        <v>6848.7955041904288</v>
      </c>
      <c r="G29" s="52">
        <f>G27+G28</f>
        <v>8420.9993795621212</v>
      </c>
    </row>
    <row r="30" spans="2:7" x14ac:dyDescent="0.25">
      <c r="B30" s="3"/>
      <c r="C30" s="5"/>
    </row>
    <row r="31" spans="2:7" x14ac:dyDescent="0.25">
      <c r="B31" s="46"/>
      <c r="C31" s="48"/>
      <c r="E31" s="3" t="s">
        <v>47</v>
      </c>
      <c r="F31" s="43">
        <f>F29/G8</f>
        <v>15.438327455188611</v>
      </c>
      <c r="G31" s="43">
        <f>G29/Model!S31</f>
        <v>14.78648146768486</v>
      </c>
    </row>
    <row r="32" spans="2:7" x14ac:dyDescent="0.25">
      <c r="E32" s="3" t="s">
        <v>64</v>
      </c>
      <c r="F32" s="43">
        <f>F29/Model!R4</f>
        <v>2.3203841497921394</v>
      </c>
      <c r="G32" s="43">
        <f>G29/Model!S4</f>
        <v>2.4648387851634794</v>
      </c>
    </row>
  </sheetData>
  <mergeCells count="3">
    <mergeCell ref="B3:C3"/>
    <mergeCell ref="E20:G20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Square Capital</dc:creator>
  <cp:lastModifiedBy>Armando Tamez</cp:lastModifiedBy>
  <dcterms:created xsi:type="dcterms:W3CDTF">2023-10-25T00:29:41Z</dcterms:created>
  <dcterms:modified xsi:type="dcterms:W3CDTF">2023-11-26T02:38:56Z</dcterms:modified>
</cp:coreProperties>
</file>