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ame\Dropbox\My PC (LAPTOP-89P7VNQG)\Desktop\"/>
    </mc:Choice>
  </mc:AlternateContent>
  <xr:revisionPtr revIDLastSave="0" documentId="13_ncr:1_{516644A1-5B92-4CAD-B222-A4B32EB166A7}" xr6:coauthVersionLast="47" xr6:coauthVersionMax="47" xr10:uidLastSave="{00000000-0000-0000-0000-000000000000}"/>
  <bookViews>
    <workbookView xWindow="-120" yWindow="-120" windowWidth="29040" windowHeight="15990" xr2:uid="{6D081E73-0DAF-4AC6-814C-07C3B944DAA0}"/>
  </bookViews>
  <sheets>
    <sheet name="Model" sheetId="1" r:id="rId1"/>
    <sheet name="Valuation" sheetId="5" r:id="rId2"/>
    <sheet name="Scenario" sheetId="2" r:id="rId3"/>
    <sheet name="280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2" i="1" l="1"/>
  <c r="S12" i="1"/>
  <c r="Q15" i="1"/>
  <c r="R15" i="1"/>
  <c r="Q14" i="1"/>
  <c r="R14" i="1"/>
  <c r="S21" i="1"/>
  <c r="R21" i="1"/>
  <c r="Q21" i="1"/>
  <c r="Q18" i="1"/>
  <c r="R18" i="1"/>
  <c r="S20" i="1"/>
  <c r="R20" i="1"/>
  <c r="Q20" i="1"/>
  <c r="R17" i="1"/>
  <c r="Q17" i="1"/>
  <c r="Q11" i="1"/>
  <c r="R11" i="1"/>
  <c r="D14" i="1"/>
  <c r="D15" i="1" s="1"/>
  <c r="K21" i="1"/>
  <c r="J21" i="1"/>
  <c r="G21" i="1"/>
  <c r="F21" i="1"/>
  <c r="D18" i="1"/>
  <c r="H20" i="1"/>
  <c r="H21" i="1" s="1"/>
  <c r="D20" i="1"/>
  <c r="D21" i="1" s="1"/>
  <c r="E20" i="1"/>
  <c r="E21" i="1" s="1"/>
  <c r="I20" i="1"/>
  <c r="I21" i="1" s="1"/>
  <c r="N20" i="1"/>
  <c r="N21" i="1" s="1"/>
  <c r="M20" i="1"/>
  <c r="M21" i="1" s="1"/>
  <c r="L20" i="1"/>
  <c r="L21" i="1" s="1"/>
  <c r="E14" i="1"/>
  <c r="E15" i="1" s="1"/>
  <c r="E18" i="1"/>
  <c r="F14" i="1"/>
  <c r="F15" i="1" s="1"/>
  <c r="F18" i="1"/>
  <c r="G14" i="1"/>
  <c r="G15" i="1" s="1"/>
  <c r="G18" i="1"/>
  <c r="H14" i="1"/>
  <c r="H15" i="1" s="1"/>
  <c r="H18" i="1"/>
  <c r="I14" i="1"/>
  <c r="I15" i="1" s="1"/>
  <c r="I18" i="1"/>
  <c r="T24" i="1"/>
  <c r="T23" i="1"/>
  <c r="C11" i="2"/>
  <c r="T5" i="1"/>
  <c r="S5" i="1"/>
  <c r="S29" i="2"/>
  <c r="X28" i="2"/>
  <c r="W28" i="2"/>
  <c r="V28" i="2"/>
  <c r="U28" i="2"/>
  <c r="T28" i="2"/>
  <c r="O15" i="1"/>
  <c r="S18" i="2"/>
  <c r="L18" i="2"/>
  <c r="Q17" i="2"/>
  <c r="P17" i="2"/>
  <c r="O17" i="2"/>
  <c r="N17" i="2"/>
  <c r="M17" i="2"/>
  <c r="X5" i="2"/>
  <c r="W5" i="2"/>
  <c r="V5" i="2"/>
  <c r="U5" i="2"/>
  <c r="T5" i="2"/>
  <c r="S6" i="2"/>
  <c r="L6" i="2"/>
  <c r="Q5" i="2"/>
  <c r="P5" i="2"/>
  <c r="O5" i="2"/>
  <c r="N5" i="2"/>
  <c r="M5" i="2"/>
  <c r="J6" i="2"/>
  <c r="I6" i="2"/>
  <c r="H6" i="2"/>
  <c r="G6" i="2"/>
  <c r="F6" i="2"/>
  <c r="O17" i="1"/>
  <c r="S17" i="1" s="1"/>
  <c r="S11" i="1"/>
  <c r="D9" i="5"/>
  <c r="D12" i="5" s="1"/>
  <c r="G6" i="5" s="1"/>
  <c r="O20" i="1" l="1"/>
  <c r="O21" i="1" s="1"/>
  <c r="S25" i="1"/>
  <c r="S27" i="1" s="1"/>
  <c r="S8" i="1"/>
  <c r="G8" i="5"/>
  <c r="G9" i="5" s="1"/>
  <c r="T11" i="1"/>
  <c r="T6" i="1"/>
  <c r="G12" i="5"/>
  <c r="C5" i="2"/>
  <c r="S18" i="1"/>
  <c r="S14" i="1"/>
  <c r="S15" i="1" s="1"/>
  <c r="T8" i="1" l="1"/>
  <c r="T12" i="1"/>
  <c r="J9" i="4" l="1"/>
  <c r="H9" i="4"/>
  <c r="J6" i="4"/>
  <c r="H6" i="4"/>
  <c r="H11" i="4" s="1"/>
  <c r="J11" i="4" l="1"/>
  <c r="J12" i="4" s="1"/>
  <c r="J17" i="4" s="1"/>
  <c r="J7" i="4"/>
  <c r="J14" i="4" s="1"/>
  <c r="H7" i="4"/>
  <c r="H12" i="4" s="1"/>
  <c r="H14" i="4" l="1"/>
  <c r="H15" i="4" s="1"/>
  <c r="H17" i="4"/>
  <c r="J15" i="4"/>
  <c r="E7" i="2"/>
  <c r="S30" i="2" s="1"/>
  <c r="P6" i="2"/>
  <c r="P18" i="2" s="1"/>
  <c r="O6" i="2"/>
  <c r="O18" i="2" s="1"/>
  <c r="N6" i="2"/>
  <c r="N18" i="2" s="1"/>
  <c r="M6" i="2"/>
  <c r="M18" i="2" s="1"/>
  <c r="O12" i="1"/>
  <c r="N14" i="1"/>
  <c r="N15" i="1" s="1"/>
  <c r="M14" i="1"/>
  <c r="M15" i="1" s="1"/>
  <c r="L14" i="1"/>
  <c r="L15" i="1" s="1"/>
  <c r="K14" i="1"/>
  <c r="K15" i="1" s="1"/>
  <c r="J14" i="1"/>
  <c r="J15" i="1" s="1"/>
  <c r="O18" i="1"/>
  <c r="L18" i="1"/>
  <c r="K18" i="1"/>
  <c r="M18" i="1"/>
  <c r="J18" i="1"/>
  <c r="N18" i="1"/>
  <c r="G8" i="1"/>
  <c r="F8" i="1"/>
  <c r="E8" i="1"/>
  <c r="D8" i="1"/>
  <c r="N6" i="1"/>
  <c r="M6" i="1"/>
  <c r="L6" i="1"/>
  <c r="K6" i="1"/>
  <c r="J6" i="1"/>
  <c r="I6" i="1"/>
  <c r="H6" i="1"/>
  <c r="H12" i="1"/>
  <c r="I12" i="1"/>
  <c r="J12" i="1"/>
  <c r="K12" i="1"/>
  <c r="L12" i="1"/>
  <c r="M12" i="1"/>
  <c r="N12" i="1"/>
  <c r="N8" i="1"/>
  <c r="M8" i="1"/>
  <c r="L8" i="1"/>
  <c r="K8" i="1"/>
  <c r="J8" i="1"/>
  <c r="I8" i="1"/>
  <c r="H8" i="1"/>
  <c r="L7" i="2" l="1"/>
  <c r="S7" i="2"/>
  <c r="L19" i="2"/>
  <c r="S19" i="2"/>
  <c r="E8" i="2"/>
  <c r="S31" i="2" s="1"/>
  <c r="G7" i="2"/>
  <c r="N7" i="2" s="1"/>
  <c r="N19" i="2" s="1"/>
  <c r="F7" i="2"/>
  <c r="M7" i="2" s="1"/>
  <c r="M19" i="2" s="1"/>
  <c r="J7" i="2"/>
  <c r="Q7" i="2" s="1"/>
  <c r="Q19" i="2" s="1"/>
  <c r="I7" i="2"/>
  <c r="P7" i="2" s="1"/>
  <c r="P19" i="2" s="1"/>
  <c r="H7" i="2"/>
  <c r="O7" i="2" s="1"/>
  <c r="O19" i="2" s="1"/>
  <c r="W18" i="2"/>
  <c r="W6" i="2"/>
  <c r="W29" i="2" s="1"/>
  <c r="V6" i="2"/>
  <c r="V29" i="2" s="1"/>
  <c r="V18" i="2"/>
  <c r="U18" i="2"/>
  <c r="U6" i="2"/>
  <c r="U29" i="2" s="1"/>
  <c r="T6" i="2"/>
  <c r="T29" i="2" s="1"/>
  <c r="T18" i="2"/>
  <c r="M9" i="1"/>
  <c r="J20" i="4"/>
  <c r="J19" i="4"/>
  <c r="Q6" i="2"/>
  <c r="Q18" i="2" s="1"/>
  <c r="H9" i="1"/>
  <c r="N9" i="1"/>
  <c r="J9" i="1"/>
  <c r="L9" i="1"/>
  <c r="I9" i="1"/>
  <c r="K9" i="1"/>
  <c r="L20" i="2" l="1"/>
  <c r="L8" i="2"/>
  <c r="S8" i="2"/>
  <c r="S20" i="2"/>
  <c r="E9" i="2"/>
  <c r="S32" i="2" s="1"/>
  <c r="G8" i="2"/>
  <c r="N8" i="2" s="1"/>
  <c r="J8" i="2"/>
  <c r="Q8" i="2" s="1"/>
  <c r="X8" i="2" s="1"/>
  <c r="X31" i="2" s="1"/>
  <c r="F8" i="2"/>
  <c r="M8" i="2" s="1"/>
  <c r="I8" i="2"/>
  <c r="P8" i="2" s="1"/>
  <c r="H8" i="2"/>
  <c r="O8" i="2" s="1"/>
  <c r="V19" i="2"/>
  <c r="V7" i="2"/>
  <c r="V30" i="2" s="1"/>
  <c r="U19" i="2"/>
  <c r="U7" i="2"/>
  <c r="U30" i="2" s="1"/>
  <c r="T7" i="2"/>
  <c r="T30" i="2" s="1"/>
  <c r="T19" i="2"/>
  <c r="X7" i="2"/>
  <c r="X30" i="2" s="1"/>
  <c r="X19" i="2"/>
  <c r="W7" i="2"/>
  <c r="W30" i="2" s="1"/>
  <c r="W19" i="2"/>
  <c r="X6" i="2"/>
  <c r="X29" i="2" s="1"/>
  <c r="X18" i="2"/>
  <c r="V8" i="2" l="1"/>
  <c r="V31" i="2" s="1"/>
  <c r="O20" i="2"/>
  <c r="V20" i="2" s="1"/>
  <c r="W8" i="2"/>
  <c r="W31" i="2" s="1"/>
  <c r="P20" i="2"/>
  <c r="W20" i="2" s="1"/>
  <c r="T8" i="2"/>
  <c r="T31" i="2" s="1"/>
  <c r="M20" i="2"/>
  <c r="T20" i="2" s="1"/>
  <c r="Q20" i="2"/>
  <c r="X20" i="2" s="1"/>
  <c r="N20" i="2"/>
  <c r="U20" i="2" s="1"/>
  <c r="U8" i="2"/>
  <c r="U31" i="2" s="1"/>
  <c r="T17" i="1"/>
  <c r="T25" i="1" s="1"/>
  <c r="T27" i="1" s="1"/>
  <c r="L9" i="2"/>
  <c r="S9" i="2"/>
  <c r="S21" i="2"/>
  <c r="L21" i="2"/>
  <c r="E10" i="2"/>
  <c r="S33" i="2" s="1"/>
  <c r="G9" i="2"/>
  <c r="N9" i="2" s="1"/>
  <c r="N21" i="2" s="1"/>
  <c r="J9" i="2"/>
  <c r="Q9" i="2" s="1"/>
  <c r="Q21" i="2" s="1"/>
  <c r="I9" i="2"/>
  <c r="P9" i="2" s="1"/>
  <c r="P21" i="2" s="1"/>
  <c r="H9" i="2"/>
  <c r="O9" i="2" s="1"/>
  <c r="O21" i="2" s="1"/>
  <c r="F9" i="2"/>
  <c r="M9" i="2" s="1"/>
  <c r="M21" i="2" s="1"/>
  <c r="T18" i="1" l="1"/>
  <c r="T14" i="1"/>
  <c r="T15" i="1" s="1"/>
  <c r="L10" i="2"/>
  <c r="L22" i="2"/>
  <c r="S10" i="2"/>
  <c r="S22" i="2"/>
  <c r="T9" i="2"/>
  <c r="T32" i="2" s="1"/>
  <c r="T21" i="2"/>
  <c r="V21" i="2"/>
  <c r="V9" i="2"/>
  <c r="V32" i="2" s="1"/>
  <c r="U9" i="2"/>
  <c r="U32" i="2" s="1"/>
  <c r="U21" i="2"/>
  <c r="W9" i="2"/>
  <c r="W32" i="2" s="1"/>
  <c r="W21" i="2"/>
  <c r="X21" i="2"/>
  <c r="X9" i="2"/>
  <c r="X32" i="2" s="1"/>
  <c r="J10" i="2"/>
  <c r="Q10" i="2" s="1"/>
  <c r="Q22" i="2" s="1"/>
  <c r="I10" i="2"/>
  <c r="P10" i="2" s="1"/>
  <c r="P22" i="2" s="1"/>
  <c r="H10" i="2"/>
  <c r="O10" i="2" s="1"/>
  <c r="O22" i="2" s="1"/>
  <c r="F10" i="2"/>
  <c r="M10" i="2" s="1"/>
  <c r="M22" i="2" s="1"/>
  <c r="G10" i="2"/>
  <c r="N10" i="2" s="1"/>
  <c r="N22" i="2" s="1"/>
  <c r="X10" i="2" l="1"/>
  <c r="X33" i="2" s="1"/>
  <c r="X22" i="2"/>
  <c r="T10" i="2"/>
  <c r="T33" i="2" s="1"/>
  <c r="T22" i="2"/>
  <c r="W22" i="2"/>
  <c r="W10" i="2"/>
  <c r="W33" i="2" s="1"/>
  <c r="U10" i="2"/>
  <c r="U33" i="2" s="1"/>
  <c r="U22" i="2"/>
  <c r="V22" i="2"/>
  <c r="V10" i="2"/>
  <c r="V33" i="2" s="1"/>
</calcChain>
</file>

<file path=xl/sharedStrings.xml><?xml version="1.0" encoding="utf-8"?>
<sst xmlns="http://schemas.openxmlformats.org/spreadsheetml/2006/main" count="88" uniqueCount="67">
  <si>
    <t>Q1</t>
  </si>
  <si>
    <t>Q2</t>
  </si>
  <si>
    <t>Q3</t>
  </si>
  <si>
    <t>Q4</t>
  </si>
  <si>
    <t>Revenue</t>
  </si>
  <si>
    <t>Avg. monthly paying clients</t>
  </si>
  <si>
    <t>Avg. montly revenue per paying client</t>
  </si>
  <si>
    <t>YoY %</t>
  </si>
  <si>
    <t>Adj. EBITDA</t>
  </si>
  <si>
    <t>EBITDA M%</t>
  </si>
  <si>
    <t>Cash expenses</t>
  </si>
  <si>
    <t>Incremental Margin</t>
  </si>
  <si>
    <t>Excess tax</t>
  </si>
  <si>
    <t>LEFT: Share of marketing captured by WM</t>
  </si>
  <si>
    <t>TOP: Share of excess tax going into marketing</t>
  </si>
  <si>
    <t>Incremental Revenue to Weedmaps</t>
  </si>
  <si>
    <t>Total EBITDA Post-280 Restriction Removal</t>
  </si>
  <si>
    <t>Assumptions</t>
  </si>
  <si>
    <t>COGS</t>
  </si>
  <si>
    <t>GM %</t>
  </si>
  <si>
    <t>OPEX</t>
  </si>
  <si>
    <t>EBIT</t>
  </si>
  <si>
    <t>% of revenue</t>
  </si>
  <si>
    <t>Tax</t>
  </si>
  <si>
    <t>Gross Profit</t>
  </si>
  <si>
    <t>Net Income</t>
  </si>
  <si>
    <t>Net Margin %</t>
  </si>
  <si>
    <t>With Section 280E</t>
  </si>
  <si>
    <t>No Section 280E</t>
  </si>
  <si>
    <t>Tax rate</t>
  </si>
  <si>
    <t>Tax on GP</t>
  </si>
  <si>
    <t>Tax on EBIT</t>
  </si>
  <si>
    <t>Tax rate as a % of EBIT</t>
  </si>
  <si>
    <t>Net income delta</t>
  </si>
  <si>
    <t>% difference</t>
  </si>
  <si>
    <t>Dispensary P&amp;L (Illustrative)</t>
  </si>
  <si>
    <t>Last update</t>
  </si>
  <si>
    <t>(x) Diluted S/O</t>
  </si>
  <si>
    <t>Market cap</t>
  </si>
  <si>
    <t>Total Enterprise Value (TEV)</t>
  </si>
  <si>
    <t>WM Technology - Cap Structure</t>
  </si>
  <si>
    <t>Last px</t>
  </si>
  <si>
    <t>(+) Debt (Q3 23)</t>
  </si>
  <si>
    <t>(-) Cash on B/S (Q3 23)</t>
  </si>
  <si>
    <t>EV/ EBITDA</t>
  </si>
  <si>
    <t>2023 Adj. EBITDA (Guidance)</t>
  </si>
  <si>
    <t>SBC</t>
  </si>
  <si>
    <t>CAPEX</t>
  </si>
  <si>
    <t>2023 Adj. EBITDA (CSC Est)</t>
  </si>
  <si>
    <t>Valuation</t>
  </si>
  <si>
    <t>Cash outlays</t>
  </si>
  <si>
    <t>EBITDA Multiple</t>
  </si>
  <si>
    <t>Implied FCF Multiple</t>
  </si>
  <si>
    <t xml:space="preserve">Implied Stock Price </t>
  </si>
  <si>
    <t xml:space="preserve">Total FCF </t>
  </si>
  <si>
    <t>2023E EBITDA</t>
  </si>
  <si>
    <t>Upside to current price</t>
  </si>
  <si>
    <t>EV/ Sales</t>
  </si>
  <si>
    <t>2023 Sales (Guidance)</t>
  </si>
  <si>
    <t>FCF</t>
  </si>
  <si>
    <t>WM Technology (MAPS)</t>
  </si>
  <si>
    <t>Upside</t>
  </si>
  <si>
    <t>A</t>
  </si>
  <si>
    <t>24/25</t>
  </si>
  <si>
    <t>Q4E</t>
  </si>
  <si>
    <t>Adj. EBITDA (before doubtful accts)</t>
  </si>
  <si>
    <t>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</si>
</sst>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&quot;$&quot;#,##0.00"/>
    <numFmt numFmtId="168" formatCode="&quot;$&quot;#,##0.0"/>
    <numFmt numFmtId="169" formatCode="&quot;$&quot;#,##0"/>
    <numFmt numFmtId="176" formatCode="#,##0.0_)\x;\(#,##0.0\)"/>
    <numFmt numFmtId="177" formatCode="#,##0_)\x;\(#,##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theme="7" tint="-0.249977111117893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theme="3" tint="0.39997558519241921"/>
      <name val="Times New Roman"/>
      <family val="1"/>
    </font>
    <font>
      <i/>
      <sz val="11"/>
      <color theme="3" tint="0.3999755851924192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EE8C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3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9" fontId="3" fillId="0" borderId="0" xfId="1" applyFont="1" applyAlignment="1">
      <alignment horizontal="center"/>
    </xf>
    <xf numFmtId="9" fontId="4" fillId="0" borderId="0" xfId="1" applyFont="1" applyAlignment="1">
      <alignment horizontal="center"/>
    </xf>
    <xf numFmtId="3" fontId="4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1" xfId="0" applyFont="1" applyBorder="1"/>
    <xf numFmtId="9" fontId="3" fillId="0" borderId="3" xfId="1" applyFont="1" applyBorder="1" applyAlignment="1">
      <alignment horizontal="center"/>
    </xf>
    <xf numFmtId="0" fontId="3" fillId="0" borderId="0" xfId="0" applyFont="1" applyBorder="1"/>
    <xf numFmtId="0" fontId="3" fillId="3" borderId="0" xfId="0" applyFont="1" applyFill="1" applyAlignment="1">
      <alignment horizontal="left" inden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8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169" fontId="3" fillId="0" borderId="2" xfId="0" applyNumberFormat="1" applyFont="1" applyBorder="1" applyAlignment="1">
      <alignment horizontal="center"/>
    </xf>
    <xf numFmtId="168" fontId="3" fillId="0" borderId="2" xfId="0" applyNumberFormat="1" applyFont="1" applyBorder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169" fontId="3" fillId="0" borderId="1" xfId="0" applyNumberFormat="1" applyFont="1" applyBorder="1" applyAlignment="1">
      <alignment horizontal="center"/>
    </xf>
    <xf numFmtId="169" fontId="3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indent="1"/>
    </xf>
    <xf numFmtId="9" fontId="4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9" fontId="6" fillId="0" borderId="1" xfId="1" applyFont="1" applyBorder="1" applyAlignment="1">
      <alignment horizontal="center"/>
    </xf>
    <xf numFmtId="0" fontId="0" fillId="0" borderId="1" xfId="0" applyBorder="1"/>
    <xf numFmtId="0" fontId="3" fillId="0" borderId="4" xfId="0" applyFont="1" applyBorder="1" applyAlignment="1">
      <alignment horizontal="left" indent="1"/>
    </xf>
    <xf numFmtId="0" fontId="0" fillId="0" borderId="5" xfId="0" applyBorder="1"/>
    <xf numFmtId="0" fontId="3" fillId="0" borderId="5" xfId="0" applyFont="1" applyBorder="1"/>
    <xf numFmtId="9" fontId="3" fillId="0" borderId="5" xfId="1" applyFont="1" applyBorder="1" applyAlignment="1">
      <alignment horizontal="center"/>
    </xf>
    <xf numFmtId="0" fontId="0" fillId="0" borderId="6" xfId="0" applyBorder="1"/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left" indent="1"/>
    </xf>
    <xf numFmtId="0" fontId="3" fillId="0" borderId="0" xfId="0" applyFont="1" applyAlignment="1">
      <alignment horizontal="left" indent="2"/>
    </xf>
    <xf numFmtId="0" fontId="3" fillId="0" borderId="1" xfId="0" applyFont="1" applyBorder="1" applyAlignment="1">
      <alignment horizontal="left" indent="2"/>
    </xf>
    <xf numFmtId="0" fontId="3" fillId="0" borderId="4" xfId="0" applyFont="1" applyBorder="1" applyAlignment="1">
      <alignment horizontal="left" indent="2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8" fillId="0" borderId="0" xfId="0" applyFont="1" applyAlignment="1">
      <alignment horizontal="left" indent="1"/>
    </xf>
    <xf numFmtId="37" fontId="3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left" indent="1"/>
    </xf>
    <xf numFmtId="176" fontId="5" fillId="0" borderId="0" xfId="2" applyNumberFormat="1" applyFont="1" applyAlignment="1">
      <alignment horizontal="center"/>
    </xf>
    <xf numFmtId="167" fontId="4" fillId="0" borderId="0" xfId="3" applyNumberFormat="1" applyFont="1" applyAlignment="1">
      <alignment horizontal="center"/>
    </xf>
    <xf numFmtId="169" fontId="7" fillId="0" borderId="7" xfId="2" applyNumberFormat="1" applyFont="1" applyBorder="1" applyAlignment="1">
      <alignment horizontal="center"/>
    </xf>
    <xf numFmtId="169" fontId="7" fillId="0" borderId="0" xfId="2" applyNumberFormat="1" applyFont="1" applyBorder="1" applyAlignment="1">
      <alignment horizontal="center"/>
    </xf>
    <xf numFmtId="169" fontId="5" fillId="0" borderId="0" xfId="2" applyNumberFormat="1" applyFont="1" applyBorder="1" applyAlignment="1">
      <alignment horizontal="center"/>
    </xf>
    <xf numFmtId="169" fontId="5" fillId="0" borderId="1" xfId="2" applyNumberFormat="1" applyFont="1" applyBorder="1" applyAlignment="1">
      <alignment horizontal="center"/>
    </xf>
    <xf numFmtId="0" fontId="7" fillId="0" borderId="0" xfId="0" applyFont="1" applyAlignment="1">
      <alignment horizontal="left" indent="1"/>
    </xf>
    <xf numFmtId="176" fontId="7" fillId="0" borderId="0" xfId="2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37" fontId="3" fillId="0" borderId="0" xfId="0" applyNumberFormat="1" applyFont="1" applyAlignment="1">
      <alignment horizontal="center"/>
    </xf>
    <xf numFmtId="0" fontId="10" fillId="0" borderId="0" xfId="0" applyFont="1" applyAlignment="1">
      <alignment horizontal="left" indent="2"/>
    </xf>
    <xf numFmtId="0" fontId="10" fillId="0" borderId="0" xfId="0" applyFont="1"/>
    <xf numFmtId="9" fontId="10" fillId="0" borderId="0" xfId="1" applyFont="1" applyAlignment="1">
      <alignment horizontal="center"/>
    </xf>
    <xf numFmtId="8" fontId="3" fillId="0" borderId="0" xfId="0" applyNumberFormat="1" applyFont="1"/>
    <xf numFmtId="37" fontId="3" fillId="0" borderId="0" xfId="0" applyNumberFormat="1" applyFont="1"/>
    <xf numFmtId="169" fontId="0" fillId="0" borderId="0" xfId="0" applyNumberFormat="1"/>
    <xf numFmtId="14" fontId="4" fillId="0" borderId="0" xfId="0" applyNumberFormat="1" applyFont="1" applyAlignment="1">
      <alignment horizontal="center"/>
    </xf>
    <xf numFmtId="167" fontId="3" fillId="0" borderId="0" xfId="0" applyNumberFormat="1" applyFont="1"/>
    <xf numFmtId="169" fontId="3" fillId="0" borderId="10" xfId="0" applyNumberFormat="1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9" fontId="3" fillId="0" borderId="1" xfId="1" applyFont="1" applyBorder="1" applyAlignment="1">
      <alignment horizontal="center"/>
    </xf>
    <xf numFmtId="168" fontId="3" fillId="0" borderId="10" xfId="0" applyNumberFormat="1" applyFont="1" applyBorder="1" applyAlignment="1">
      <alignment horizontal="center"/>
    </xf>
    <xf numFmtId="168" fontId="3" fillId="0" borderId="7" xfId="0" applyNumberFormat="1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9" fontId="4" fillId="0" borderId="3" xfId="1" applyFont="1" applyBorder="1" applyAlignment="1">
      <alignment horizontal="center"/>
    </xf>
    <xf numFmtId="177" fontId="4" fillId="0" borderId="0" xfId="2" applyNumberFormat="1" applyFont="1" applyAlignment="1">
      <alignment horizontal="center"/>
    </xf>
    <xf numFmtId="176" fontId="5" fillId="0" borderId="2" xfId="2" applyNumberFormat="1" applyFont="1" applyBorder="1" applyAlignment="1">
      <alignment horizontal="center"/>
    </xf>
    <xf numFmtId="168" fontId="3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0" xfId="0" applyFont="1" applyFill="1"/>
    <xf numFmtId="37" fontId="3" fillId="5" borderId="0" xfId="0" applyNumberFormat="1" applyFont="1" applyFill="1" applyAlignment="1">
      <alignment horizontal="center"/>
    </xf>
    <xf numFmtId="9" fontId="10" fillId="5" borderId="0" xfId="1" applyFont="1" applyFill="1" applyAlignment="1">
      <alignment horizontal="center"/>
    </xf>
    <xf numFmtId="37" fontId="11" fillId="5" borderId="0" xfId="0" applyNumberFormat="1" applyFont="1" applyFill="1" applyAlignment="1">
      <alignment horizontal="center"/>
    </xf>
    <xf numFmtId="9" fontId="3" fillId="5" borderId="0" xfId="1" applyFont="1" applyFill="1" applyAlignment="1">
      <alignment horizontal="center"/>
    </xf>
    <xf numFmtId="0" fontId="3" fillId="6" borderId="0" xfId="0" applyFont="1" applyFill="1"/>
    <xf numFmtId="37" fontId="3" fillId="6" borderId="0" xfId="0" applyNumberFormat="1" applyFont="1" applyFill="1" applyAlignment="1">
      <alignment horizontal="center"/>
    </xf>
    <xf numFmtId="9" fontId="10" fillId="6" borderId="0" xfId="1" applyFont="1" applyFill="1" applyAlignment="1">
      <alignment horizontal="center"/>
    </xf>
    <xf numFmtId="9" fontId="3" fillId="6" borderId="0" xfId="1" applyFont="1" applyFill="1" applyAlignment="1">
      <alignment horizontal="center"/>
    </xf>
    <xf numFmtId="0" fontId="9" fillId="0" borderId="0" xfId="0" applyFont="1"/>
    <xf numFmtId="37" fontId="9" fillId="5" borderId="0" xfId="0" applyNumberFormat="1" applyFont="1" applyFill="1" applyAlignment="1">
      <alignment horizontal="center"/>
    </xf>
    <xf numFmtId="37" fontId="9" fillId="0" borderId="0" xfId="0" applyNumberFormat="1" applyFont="1" applyAlignment="1">
      <alignment horizontal="center"/>
    </xf>
    <xf numFmtId="37" fontId="9" fillId="0" borderId="0" xfId="0" applyNumberFormat="1" applyFont="1"/>
    <xf numFmtId="37" fontId="3" fillId="6" borderId="0" xfId="0" applyNumberFormat="1" applyFont="1" applyFill="1"/>
    <xf numFmtId="37" fontId="3" fillId="5" borderId="0" xfId="0" applyNumberFormat="1" applyFont="1" applyFill="1"/>
    <xf numFmtId="37" fontId="9" fillId="6" borderId="0" xfId="0" applyNumberFormat="1" applyFont="1" applyFill="1"/>
    <xf numFmtId="167" fontId="0" fillId="0" borderId="0" xfId="0" applyNumberFormat="1"/>
    <xf numFmtId="37" fontId="11" fillId="6" borderId="0" xfId="0" applyNumberFormat="1" applyFont="1" applyFill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 indent="1"/>
    </xf>
    <xf numFmtId="0" fontId="14" fillId="0" borderId="0" xfId="0" applyFont="1"/>
    <xf numFmtId="37" fontId="13" fillId="0" borderId="0" xfId="0" applyNumberFormat="1" applyFont="1" applyAlignment="1">
      <alignment horizontal="center"/>
    </xf>
    <xf numFmtId="37" fontId="13" fillId="6" borderId="0" xfId="0" applyNumberFormat="1" applyFont="1" applyFill="1" applyAlignment="1">
      <alignment horizontal="center"/>
    </xf>
    <xf numFmtId="0" fontId="13" fillId="0" borderId="0" xfId="0" applyFont="1" applyAlignment="1">
      <alignment horizontal="left" indent="2"/>
    </xf>
    <xf numFmtId="9" fontId="13" fillId="0" borderId="0" xfId="1" applyFont="1" applyAlignment="1">
      <alignment horizontal="center"/>
    </xf>
    <xf numFmtId="9" fontId="13" fillId="6" borderId="0" xfId="1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1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4D6DD6EA-26B8-40F6-A0AE-5C8C2F9A2F92}">
  <we:reference id="wa200002252" version="1.0.0.3" store="en-US" storeType="OMEX"/>
  <we:alternateReferences>
    <we:reference id="wa200002252" version="1.0.0.3" store="WA200002252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27AA2-E7F2-4E3F-841B-91E526DE0B55}">
  <dimension ref="B2:T36"/>
  <sheetViews>
    <sheetView showGridLines="0" tabSelected="1" topLeftCell="A9" workbookViewId="0">
      <selection activeCell="A10" sqref="A10"/>
    </sheetView>
  </sheetViews>
  <sheetFormatPr defaultRowHeight="15" x14ac:dyDescent="0.25"/>
  <cols>
    <col min="1" max="1" width="5.140625" style="3" customWidth="1"/>
    <col min="2" max="2" width="29.85546875" style="3" customWidth="1"/>
    <col min="3" max="3" width="7.42578125" style="3" customWidth="1"/>
    <col min="4" max="14" width="9.140625" style="3" customWidth="1"/>
    <col min="15" max="16384" width="9.140625" style="3"/>
  </cols>
  <sheetData>
    <row r="2" spans="2:20" ht="15.75" x14ac:dyDescent="0.25">
      <c r="B2" s="100" t="s">
        <v>60</v>
      </c>
      <c r="D2" s="4">
        <v>2021</v>
      </c>
      <c r="E2" s="4">
        <v>2021</v>
      </c>
      <c r="F2" s="4">
        <v>2021</v>
      </c>
      <c r="G2" s="4">
        <v>2021</v>
      </c>
      <c r="H2" s="4">
        <v>2022</v>
      </c>
      <c r="I2" s="4">
        <v>2022</v>
      </c>
      <c r="J2" s="4">
        <v>2022</v>
      </c>
      <c r="K2" s="4">
        <v>2022</v>
      </c>
      <c r="L2" s="4">
        <v>2023</v>
      </c>
      <c r="M2" s="4">
        <v>2023</v>
      </c>
      <c r="N2" s="4">
        <v>2023</v>
      </c>
      <c r="O2" s="56">
        <v>2023</v>
      </c>
      <c r="Q2" s="108">
        <v>2021</v>
      </c>
      <c r="R2" s="108">
        <v>2022</v>
      </c>
      <c r="S2" s="108">
        <v>2023</v>
      </c>
      <c r="T2" s="80" t="s">
        <v>61</v>
      </c>
    </row>
    <row r="3" spans="2:20" x14ac:dyDescent="0.25">
      <c r="B3" s="11"/>
      <c r="C3" s="11"/>
      <c r="D3" s="28" t="s">
        <v>0</v>
      </c>
      <c r="E3" s="28" t="s">
        <v>1</v>
      </c>
      <c r="F3" s="28" t="s">
        <v>2</v>
      </c>
      <c r="G3" s="28" t="s">
        <v>3</v>
      </c>
      <c r="H3" s="28" t="s">
        <v>0</v>
      </c>
      <c r="I3" s="28" t="s">
        <v>1</v>
      </c>
      <c r="J3" s="28" t="s">
        <v>2</v>
      </c>
      <c r="K3" s="28" t="s">
        <v>3</v>
      </c>
      <c r="L3" s="28" t="s">
        <v>0</v>
      </c>
      <c r="M3" s="28" t="s">
        <v>1</v>
      </c>
      <c r="N3" s="28" t="s">
        <v>2</v>
      </c>
      <c r="O3" s="79" t="s">
        <v>64</v>
      </c>
      <c r="Q3" s="109" t="s">
        <v>62</v>
      </c>
      <c r="R3" s="109" t="s">
        <v>62</v>
      </c>
      <c r="S3" s="109" t="s">
        <v>62</v>
      </c>
      <c r="T3" s="81" t="s">
        <v>63</v>
      </c>
    </row>
    <row r="4" spans="2:20" x14ac:dyDescent="0.25">
      <c r="O4" s="87"/>
      <c r="T4" s="82"/>
    </row>
    <row r="5" spans="2:20" x14ac:dyDescent="0.25">
      <c r="B5" s="10" t="s">
        <v>5</v>
      </c>
      <c r="D5" s="57">
        <v>3916</v>
      </c>
      <c r="E5" s="57">
        <v>4221</v>
      </c>
      <c r="F5" s="57">
        <v>4444</v>
      </c>
      <c r="G5" s="57">
        <v>4766</v>
      </c>
      <c r="H5" s="57">
        <v>5026</v>
      </c>
      <c r="I5" s="57">
        <v>5537</v>
      </c>
      <c r="J5" s="57">
        <v>5576</v>
      </c>
      <c r="K5" s="57">
        <v>5689</v>
      </c>
      <c r="L5" s="57">
        <v>5641</v>
      </c>
      <c r="M5" s="57">
        <v>5609</v>
      </c>
      <c r="N5" s="57">
        <v>5414</v>
      </c>
      <c r="O5" s="87"/>
      <c r="S5" s="57">
        <f>AVERAGE(L5,M5,N5)</f>
        <v>5554.666666666667</v>
      </c>
      <c r="T5" s="83">
        <f>N5</f>
        <v>5414</v>
      </c>
    </row>
    <row r="6" spans="2:20" x14ac:dyDescent="0.25">
      <c r="B6" s="58" t="s">
        <v>7</v>
      </c>
      <c r="C6" s="59"/>
      <c r="D6" s="57"/>
      <c r="E6" s="57"/>
      <c r="F6" s="57"/>
      <c r="G6" s="57"/>
      <c r="H6" s="60">
        <f t="shared" ref="H6:N6" si="0">H5/D5-1</f>
        <v>0.28345250255362608</v>
      </c>
      <c r="I6" s="60">
        <f t="shared" si="0"/>
        <v>0.31177446102819228</v>
      </c>
      <c r="J6" s="60">
        <f t="shared" si="0"/>
        <v>0.25472547254725475</v>
      </c>
      <c r="K6" s="60">
        <f t="shared" si="0"/>
        <v>0.19366344943348723</v>
      </c>
      <c r="L6" s="60">
        <f t="shared" si="0"/>
        <v>0.12236370871468361</v>
      </c>
      <c r="M6" s="60">
        <f t="shared" si="0"/>
        <v>1.3003431461080073E-2</v>
      </c>
      <c r="N6" s="60">
        <f t="shared" si="0"/>
        <v>-2.9053084648493543E-2</v>
      </c>
      <c r="O6" s="87"/>
      <c r="T6" s="84">
        <f>T5/S5-1</f>
        <v>-2.5324051848295781E-2</v>
      </c>
    </row>
    <row r="7" spans="2:20" x14ac:dyDescent="0.25">
      <c r="B7" s="10"/>
      <c r="D7" s="57"/>
      <c r="E7" s="57"/>
      <c r="F7" s="57"/>
      <c r="G7" s="57"/>
      <c r="O7" s="87"/>
      <c r="T7" s="82"/>
    </row>
    <row r="8" spans="2:20" x14ac:dyDescent="0.25">
      <c r="B8" s="10" t="s">
        <v>6</v>
      </c>
      <c r="D8" s="57">
        <f t="shared" ref="D8:N8" si="1">D11*1000000/D5/3</f>
        <v>3506.9799114742932</v>
      </c>
      <c r="E8" s="57">
        <f t="shared" si="1"/>
        <v>3703.7037037037039</v>
      </c>
      <c r="F8" s="57">
        <f t="shared" si="1"/>
        <v>3817.8817881788182</v>
      </c>
      <c r="G8" s="57">
        <f t="shared" si="1"/>
        <v>3790.7399636312771</v>
      </c>
      <c r="H8" s="57">
        <f t="shared" si="1"/>
        <v>3813.5031171242867</v>
      </c>
      <c r="I8" s="57">
        <f t="shared" si="1"/>
        <v>3509.7224730600205</v>
      </c>
      <c r="J8" s="57">
        <f t="shared" si="1"/>
        <v>3018.8904830224769</v>
      </c>
      <c r="K8" s="57">
        <f t="shared" si="1"/>
        <v>2888.6154567293611</v>
      </c>
      <c r="L8" s="57">
        <f t="shared" si="1"/>
        <v>2836.3765289842227</v>
      </c>
      <c r="M8" s="57">
        <f t="shared" si="1"/>
        <v>3024.9004575979084</v>
      </c>
      <c r="N8" s="57">
        <f t="shared" si="1"/>
        <v>2936.830439601034</v>
      </c>
      <c r="O8" s="87"/>
      <c r="S8" s="57">
        <f>S11*1000000/S5/12</f>
        <v>2904.464714354297</v>
      </c>
      <c r="T8" s="83">
        <f>T11*1000000/T5/12</f>
        <v>3903.4601650043101</v>
      </c>
    </row>
    <row r="9" spans="2:20" x14ac:dyDescent="0.25">
      <c r="B9" s="58" t="s">
        <v>7</v>
      </c>
      <c r="C9" s="59"/>
      <c r="D9" s="59"/>
      <c r="E9" s="59"/>
      <c r="F9" s="59"/>
      <c r="G9" s="59"/>
      <c r="H9" s="60">
        <f t="shared" ref="H9:N9" si="2">H8/D8-1</f>
        <v>8.7403752912041943E-2</v>
      </c>
      <c r="I9" s="60">
        <f t="shared" si="2"/>
        <v>-5.2374932273794528E-2</v>
      </c>
      <c r="J9" s="60">
        <f t="shared" si="2"/>
        <v>-0.2092760723053898</v>
      </c>
      <c r="K9" s="60">
        <f t="shared" si="2"/>
        <v>-0.23798111069526928</v>
      </c>
      <c r="L9" s="60">
        <f t="shared" si="2"/>
        <v>-0.2562280816691459</v>
      </c>
      <c r="M9" s="60">
        <f t="shared" si="2"/>
        <v>-0.13813685246725804</v>
      </c>
      <c r="N9" s="60">
        <f t="shared" si="2"/>
        <v>-2.7182186264433583E-2</v>
      </c>
      <c r="O9" s="87"/>
      <c r="T9" s="82"/>
    </row>
    <row r="10" spans="2:20" x14ac:dyDescent="0.25">
      <c r="B10" s="10"/>
      <c r="O10" s="87"/>
      <c r="T10" s="82"/>
    </row>
    <row r="11" spans="2:20" x14ac:dyDescent="0.25">
      <c r="B11" s="47" t="s">
        <v>4</v>
      </c>
      <c r="C11" s="91"/>
      <c r="D11" s="93">
        <v>41.2</v>
      </c>
      <c r="E11" s="93">
        <v>46.9</v>
      </c>
      <c r="F11" s="93">
        <v>50.9</v>
      </c>
      <c r="G11" s="93">
        <v>54.2</v>
      </c>
      <c r="H11" s="93">
        <v>57.5</v>
      </c>
      <c r="I11" s="93">
        <v>58.3</v>
      </c>
      <c r="J11" s="93">
        <v>50.5</v>
      </c>
      <c r="K11" s="93">
        <v>49.3</v>
      </c>
      <c r="L11" s="93">
        <v>48</v>
      </c>
      <c r="M11" s="93">
        <v>50.9</v>
      </c>
      <c r="N11" s="93">
        <v>47.7</v>
      </c>
      <c r="O11" s="99">
        <v>47</v>
      </c>
      <c r="P11" s="94"/>
      <c r="Q11" s="93">
        <f>SUM(D11:G11)</f>
        <v>193.2</v>
      </c>
      <c r="R11" s="93">
        <f>SUM(H11:K11)</f>
        <v>215.60000000000002</v>
      </c>
      <c r="S11" s="93">
        <f>SUM(L11:O11)</f>
        <v>193.60000000000002</v>
      </c>
      <c r="T11" s="85">
        <f>Scenario!G8+S11</f>
        <v>253.60000000000002</v>
      </c>
    </row>
    <row r="12" spans="2:20" x14ac:dyDescent="0.25">
      <c r="B12" s="58" t="s">
        <v>7</v>
      </c>
      <c r="C12" s="59"/>
      <c r="D12" s="57"/>
      <c r="E12" s="57"/>
      <c r="F12" s="57"/>
      <c r="G12" s="57"/>
      <c r="H12" s="60">
        <f t="shared" ref="H12:O12" si="3">H11/D11-1</f>
        <v>0.39563106796116498</v>
      </c>
      <c r="I12" s="60">
        <f t="shared" si="3"/>
        <v>0.24307036247334746</v>
      </c>
      <c r="J12" s="60">
        <f t="shared" si="3"/>
        <v>-7.8585461689587577E-3</v>
      </c>
      <c r="K12" s="60">
        <f t="shared" si="3"/>
        <v>-9.0405904059040698E-2</v>
      </c>
      <c r="L12" s="60">
        <f t="shared" si="3"/>
        <v>-0.16521739130434787</v>
      </c>
      <c r="M12" s="60">
        <f t="shared" si="3"/>
        <v>-0.12692967409948541</v>
      </c>
      <c r="N12" s="60">
        <f t="shared" si="3"/>
        <v>-5.5445544554455384E-2</v>
      </c>
      <c r="O12" s="89">
        <f t="shared" si="3"/>
        <v>-4.665314401622711E-2</v>
      </c>
      <c r="R12" s="60">
        <f>R11/Q11-1</f>
        <v>0.11594202898550754</v>
      </c>
      <c r="S12" s="60">
        <f>S11/R11-1</f>
        <v>-0.10204081632653061</v>
      </c>
      <c r="T12" s="84">
        <f>T11/S11-1</f>
        <v>0.30991735537190079</v>
      </c>
    </row>
    <row r="13" spans="2:20" x14ac:dyDescent="0.25">
      <c r="O13" s="87"/>
      <c r="T13" s="82"/>
    </row>
    <row r="14" spans="2:20" x14ac:dyDescent="0.25">
      <c r="B14" s="10" t="s">
        <v>10</v>
      </c>
      <c r="D14" s="57">
        <f>D11-D17</f>
        <v>32.225999999999999</v>
      </c>
      <c r="E14" s="57">
        <f>E11-E17</f>
        <v>38.396999999999998</v>
      </c>
      <c r="F14" s="57">
        <f>F11-F17</f>
        <v>40.475999999999999</v>
      </c>
      <c r="G14" s="57">
        <f>G11-G17</f>
        <v>50.403000000000006</v>
      </c>
      <c r="H14" s="57">
        <f>H11-H17</f>
        <v>58.453000000000003</v>
      </c>
      <c r="I14" s="57">
        <f>I11-I17</f>
        <v>58.894999999999996</v>
      </c>
      <c r="J14" s="57">
        <f>J11-J17</f>
        <v>60.13</v>
      </c>
      <c r="K14" s="57">
        <f>K11-K17</f>
        <v>47.754999999999995</v>
      </c>
      <c r="L14" s="57">
        <f>L11-L17</f>
        <v>40.869999999999997</v>
      </c>
      <c r="M14" s="57">
        <f>M11-M17</f>
        <v>40.673000000000002</v>
      </c>
      <c r="N14" s="57">
        <f>N11-N17</f>
        <v>36.700000000000003</v>
      </c>
      <c r="O14" s="88">
        <v>37</v>
      </c>
      <c r="P14" s="62"/>
      <c r="Q14" s="57">
        <f>Q11-Q17</f>
        <v>161.50199999999998</v>
      </c>
      <c r="R14" s="57">
        <f>R11-R17</f>
        <v>225.23300000000003</v>
      </c>
      <c r="S14" s="57">
        <f>S11-S17</f>
        <v>155.24300000000002</v>
      </c>
      <c r="T14" s="83">
        <f>T11-T17</f>
        <v>185.24300000000002</v>
      </c>
    </row>
    <row r="15" spans="2:20" x14ac:dyDescent="0.25">
      <c r="B15" s="58" t="s">
        <v>22</v>
      </c>
      <c r="D15" s="6">
        <f>D14/D11</f>
        <v>0.78218446601941738</v>
      </c>
      <c r="E15" s="6">
        <f>E14/E11</f>
        <v>0.81869936034115143</v>
      </c>
      <c r="F15" s="6">
        <f>F14/F11</f>
        <v>0.79520628683693517</v>
      </c>
      <c r="G15" s="6">
        <f>G14/G11</f>
        <v>0.92994464944649458</v>
      </c>
      <c r="H15" s="6">
        <f>H14/H11</f>
        <v>1.0165739130434783</v>
      </c>
      <c r="I15" s="6">
        <f>I14/I11</f>
        <v>1.0102058319039451</v>
      </c>
      <c r="J15" s="6">
        <f>J14/J11</f>
        <v>1.1906930693069306</v>
      </c>
      <c r="K15" s="6">
        <f t="shared" ref="K15:O15" si="4">K14/K11</f>
        <v>0.9686612576064908</v>
      </c>
      <c r="L15" s="6">
        <f t="shared" si="4"/>
        <v>0.85145833333333332</v>
      </c>
      <c r="M15" s="6">
        <f t="shared" si="4"/>
        <v>0.79907662082514741</v>
      </c>
      <c r="N15" s="6">
        <f t="shared" si="4"/>
        <v>0.76939203354297692</v>
      </c>
      <c r="O15" s="90">
        <f t="shared" si="4"/>
        <v>0.78723404255319152</v>
      </c>
      <c r="Q15" s="6">
        <f>Q14/Q11</f>
        <v>0.83593167701863347</v>
      </c>
      <c r="R15" s="6">
        <f>R14/R11</f>
        <v>1.0446799628942487</v>
      </c>
      <c r="S15" s="6">
        <f>S14/S11</f>
        <v>0.801875</v>
      </c>
      <c r="T15" s="86">
        <f>T14/T11</f>
        <v>0.73045347003154582</v>
      </c>
    </row>
    <row r="16" spans="2:20" x14ac:dyDescent="0.25">
      <c r="B16" s="10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88"/>
      <c r="S16" s="57"/>
      <c r="T16" s="82"/>
    </row>
    <row r="17" spans="2:20" x14ac:dyDescent="0.25">
      <c r="B17" s="47" t="s">
        <v>8</v>
      </c>
      <c r="C17" s="91"/>
      <c r="D17" s="93">
        <v>8.9740000000000002</v>
      </c>
      <c r="E17" s="93">
        <v>8.5030000000000001</v>
      </c>
      <c r="F17" s="93">
        <v>10.423999999999999</v>
      </c>
      <c r="G17" s="93">
        <v>3.7970000000000002</v>
      </c>
      <c r="H17" s="93">
        <v>-0.95299999999999996</v>
      </c>
      <c r="I17" s="93">
        <v>-0.59499999999999997</v>
      </c>
      <c r="J17" s="93">
        <v>-9.6300000000000008</v>
      </c>
      <c r="K17" s="93">
        <v>1.5449999999999999</v>
      </c>
      <c r="L17" s="93">
        <v>7.13</v>
      </c>
      <c r="M17" s="93">
        <v>10.227</v>
      </c>
      <c r="N17" s="93">
        <v>11</v>
      </c>
      <c r="O17" s="99">
        <f>O11-O14</f>
        <v>10</v>
      </c>
      <c r="P17" s="94"/>
      <c r="Q17" s="93">
        <f>SUM(D17:G17)</f>
        <v>31.698</v>
      </c>
      <c r="R17" s="93">
        <f>SUM(H17:K17)</f>
        <v>-9.6330000000000009</v>
      </c>
      <c r="S17" s="93">
        <f>SUM(L17:O17)</f>
        <v>38.356999999999999</v>
      </c>
      <c r="T17" s="85">
        <f>Scenario!N8</f>
        <v>68.356999999999999</v>
      </c>
    </row>
    <row r="18" spans="2:20" x14ac:dyDescent="0.25">
      <c r="B18" s="40" t="s">
        <v>9</v>
      </c>
      <c r="C18" s="59"/>
      <c r="D18" s="6">
        <f>D17/D11</f>
        <v>0.21781553398058251</v>
      </c>
      <c r="E18" s="6">
        <f>E17/E11</f>
        <v>0.18130063965884863</v>
      </c>
      <c r="F18" s="6">
        <f>F17/F11</f>
        <v>0.20479371316306483</v>
      </c>
      <c r="G18" s="6">
        <f>G17/G11</f>
        <v>7.0055350553505535E-2</v>
      </c>
      <c r="H18" s="6">
        <f>H17/H11</f>
        <v>-1.6573913043478262E-2</v>
      </c>
      <c r="I18" s="6">
        <f>I17/I11</f>
        <v>-1.0205831903945112E-2</v>
      </c>
      <c r="J18" s="6">
        <f>J17/J11</f>
        <v>-0.1906930693069307</v>
      </c>
      <c r="K18" s="6">
        <f>K17/K11</f>
        <v>3.1338742393509131E-2</v>
      </c>
      <c r="L18" s="6">
        <f>L17/L11</f>
        <v>0.14854166666666666</v>
      </c>
      <c r="M18" s="6">
        <f>M17/M11</f>
        <v>0.20092337917485267</v>
      </c>
      <c r="N18" s="6">
        <f>N17/N11</f>
        <v>0.23060796645702306</v>
      </c>
      <c r="O18" s="90">
        <f>O17/O11</f>
        <v>0.21276595744680851</v>
      </c>
      <c r="Q18" s="6">
        <f>Q17/Q11</f>
        <v>0.16406832298136648</v>
      </c>
      <c r="R18" s="6">
        <f>R17/R11</f>
        <v>-4.4679962894248609E-2</v>
      </c>
      <c r="S18" s="6">
        <f>S17/S11</f>
        <v>0.19812499999999997</v>
      </c>
      <c r="T18" s="86">
        <f>T17/T11</f>
        <v>0.26954652996845424</v>
      </c>
    </row>
    <row r="19" spans="2:20" x14ac:dyDescent="0.25">
      <c r="B19" s="40"/>
      <c r="C19" s="59"/>
      <c r="D19" s="57"/>
      <c r="E19" s="6"/>
      <c r="F19" s="6"/>
      <c r="G19" s="6"/>
      <c r="H19" s="6"/>
      <c r="I19" s="6"/>
      <c r="J19" s="6"/>
      <c r="K19" s="6"/>
      <c r="L19" s="6"/>
      <c r="M19" s="6"/>
      <c r="N19" s="6"/>
      <c r="O19" s="90"/>
      <c r="S19" s="6"/>
      <c r="T19" s="86"/>
    </row>
    <row r="20" spans="2:20" x14ac:dyDescent="0.25">
      <c r="B20" s="101" t="s">
        <v>65</v>
      </c>
      <c r="C20" s="102"/>
      <c r="D20" s="103">
        <f>D17</f>
        <v>8.9740000000000002</v>
      </c>
      <c r="E20" s="103">
        <f>E17</f>
        <v>8.5030000000000001</v>
      </c>
      <c r="F20" s="103">
        <v>12.779</v>
      </c>
      <c r="G20" s="103">
        <v>6.2690000000000001</v>
      </c>
      <c r="H20" s="103">
        <f>H17</f>
        <v>-0.95299999999999996</v>
      </c>
      <c r="I20" s="103">
        <f>I17</f>
        <v>-0.59499999999999997</v>
      </c>
      <c r="J20" s="103">
        <v>0.54600000000000004</v>
      </c>
      <c r="K20" s="103">
        <v>3.8940000000000001</v>
      </c>
      <c r="L20" s="103">
        <f>L17</f>
        <v>7.13</v>
      </c>
      <c r="M20" s="103">
        <f>M17</f>
        <v>10.227</v>
      </c>
      <c r="N20" s="103">
        <f>N17</f>
        <v>11</v>
      </c>
      <c r="O20" s="104">
        <f>O17</f>
        <v>10</v>
      </c>
      <c r="Q20" s="93">
        <f>SUM(D20:G20)</f>
        <v>36.524999999999999</v>
      </c>
      <c r="R20" s="93">
        <f>SUM(H20:K20)</f>
        <v>2.8920000000000003</v>
      </c>
      <c r="S20" s="93">
        <f>SUM(L20:O20)</f>
        <v>38.356999999999999</v>
      </c>
      <c r="T20" s="86"/>
    </row>
    <row r="21" spans="2:20" x14ac:dyDescent="0.25">
      <c r="B21" s="105" t="s">
        <v>9</v>
      </c>
      <c r="C21" s="102"/>
      <c r="D21" s="106">
        <f>D20/D11</f>
        <v>0.21781553398058251</v>
      </c>
      <c r="E21" s="106">
        <f>E20/E11</f>
        <v>0.18130063965884863</v>
      </c>
      <c r="F21" s="106">
        <f>F20/F11</f>
        <v>0.25106090373280943</v>
      </c>
      <c r="G21" s="106">
        <f>G20/G11</f>
        <v>0.11566420664206642</v>
      </c>
      <c r="H21" s="106">
        <f>H20/H11</f>
        <v>-1.6573913043478262E-2</v>
      </c>
      <c r="I21" s="106">
        <f>I20/I11</f>
        <v>-1.0205831903945112E-2</v>
      </c>
      <c r="J21" s="106">
        <f>J20/J11</f>
        <v>1.0811881188118813E-2</v>
      </c>
      <c r="K21" s="106">
        <f>K20/K11</f>
        <v>7.8985801217038548E-2</v>
      </c>
      <c r="L21" s="106">
        <f>L20/L11</f>
        <v>0.14854166666666666</v>
      </c>
      <c r="M21" s="106">
        <f>M20/M11</f>
        <v>0.20092337917485267</v>
      </c>
      <c r="N21" s="106">
        <f>N20/N11</f>
        <v>0.23060796645702306</v>
      </c>
      <c r="O21" s="107">
        <f>O20/O11</f>
        <v>0.21276595744680851</v>
      </c>
      <c r="Q21" s="6">
        <f t="shared" ref="Q21:S21" si="5">Q20/Q11</f>
        <v>0.1890527950310559</v>
      </c>
      <c r="R21" s="6">
        <f t="shared" si="5"/>
        <v>1.3413729128014843E-2</v>
      </c>
      <c r="S21" s="6">
        <f t="shared" si="5"/>
        <v>0.19812499999999997</v>
      </c>
      <c r="T21" s="86"/>
    </row>
    <row r="22" spans="2:20" x14ac:dyDescent="0.25">
      <c r="O22" s="87"/>
      <c r="T22" s="82"/>
    </row>
    <row r="23" spans="2:20" x14ac:dyDescent="0.25">
      <c r="B23" s="10" t="s">
        <v>46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95"/>
      <c r="P23" s="62"/>
      <c r="Q23" s="62"/>
      <c r="R23" s="62"/>
      <c r="S23" s="57">
        <v>-10</v>
      </c>
      <c r="T23" s="83">
        <f>Scenario!C8*-1</f>
        <v>-10</v>
      </c>
    </row>
    <row r="24" spans="2:20" x14ac:dyDescent="0.25">
      <c r="B24" s="10" t="s">
        <v>47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95"/>
      <c r="P24" s="62"/>
      <c r="Q24" s="62"/>
      <c r="R24" s="62"/>
      <c r="S24" s="57">
        <v>-12</v>
      </c>
      <c r="T24" s="83">
        <f>Scenario!C9*-1</f>
        <v>-12</v>
      </c>
    </row>
    <row r="25" spans="2:20" x14ac:dyDescent="0.25">
      <c r="B25" s="10" t="s">
        <v>66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95"/>
      <c r="P25" s="62"/>
      <c r="Q25" s="62"/>
      <c r="R25" s="62"/>
      <c r="S25" s="57">
        <f>(S17+S23+S24)*0.21*-1</f>
        <v>-3.4349699999999999</v>
      </c>
      <c r="T25" s="83">
        <f>(T17+T23+T24)*0.21*-1</f>
        <v>-9.7349699999999988</v>
      </c>
    </row>
    <row r="26" spans="2:20" x14ac:dyDescent="0.25"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95"/>
      <c r="P26" s="62"/>
      <c r="Q26" s="62"/>
      <c r="R26" s="62"/>
      <c r="S26" s="62"/>
      <c r="T26" s="96"/>
    </row>
    <row r="27" spans="2:20" x14ac:dyDescent="0.25">
      <c r="B27" s="47" t="s">
        <v>59</v>
      </c>
      <c r="C27" s="91"/>
      <c r="D27" s="94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7"/>
      <c r="P27" s="94"/>
      <c r="Q27" s="94"/>
      <c r="R27" s="94"/>
      <c r="S27" s="93">
        <f>S17+S23+S24+S25</f>
        <v>12.922029999999999</v>
      </c>
      <c r="T27" s="92">
        <f>T17+T23+T24+T25</f>
        <v>36.622030000000002</v>
      </c>
    </row>
    <row r="36" spans="10:10" x14ac:dyDescent="0.25">
      <c r="J36" s="61"/>
    </row>
  </sheetData>
  <phoneticPr fontId="2" type="noConversion"/>
  <pageMargins left="0.7" right="0.7" top="0.75" bottom="0.75" header="0.3" footer="0.3"/>
  <pageSetup orientation="portrait" r:id="rId1"/>
  <ignoredErrors>
    <ignoredError sqref="S11 Q11:R11 Q19:R20 Q16:R17 Q13:R13 Q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DB2C1-A51B-45D8-9DC8-EA5E5AC64D07}">
  <dimension ref="C3:G16"/>
  <sheetViews>
    <sheetView showGridLines="0" workbookViewId="0"/>
  </sheetViews>
  <sheetFormatPr defaultRowHeight="15" x14ac:dyDescent="0.25"/>
  <cols>
    <col min="3" max="3" width="32.85546875" customWidth="1"/>
    <col min="4" max="4" width="13" customWidth="1"/>
    <col min="6" max="6" width="29" customWidth="1"/>
    <col min="7" max="7" width="14.5703125" customWidth="1"/>
  </cols>
  <sheetData>
    <row r="3" spans="3:7" x14ac:dyDescent="0.25">
      <c r="C3" s="43" t="s">
        <v>40</v>
      </c>
      <c r="D3" s="44"/>
      <c r="F3" s="43" t="s">
        <v>49</v>
      </c>
      <c r="G3" s="44"/>
    </row>
    <row r="4" spans="3:7" x14ac:dyDescent="0.25">
      <c r="C4" s="45"/>
      <c r="D4" s="3"/>
    </row>
    <row r="5" spans="3:7" x14ac:dyDescent="0.25">
      <c r="C5" s="10" t="s">
        <v>36</v>
      </c>
      <c r="D5" s="64">
        <v>45324</v>
      </c>
      <c r="F5" s="10" t="s">
        <v>45</v>
      </c>
      <c r="G5" s="52">
        <v>33.356999999999999</v>
      </c>
    </row>
    <row r="6" spans="3:7" x14ac:dyDescent="0.25">
      <c r="C6" s="3"/>
      <c r="D6" s="3"/>
      <c r="F6" s="54" t="s">
        <v>44</v>
      </c>
      <c r="G6" s="55">
        <f>D12/G5</f>
        <v>3.2960361963006264</v>
      </c>
    </row>
    <row r="7" spans="3:7" x14ac:dyDescent="0.25">
      <c r="C7" s="10" t="s">
        <v>41</v>
      </c>
      <c r="D7" s="49">
        <v>0.84</v>
      </c>
    </row>
    <row r="8" spans="3:7" x14ac:dyDescent="0.25">
      <c r="C8" s="26" t="s">
        <v>37</v>
      </c>
      <c r="D8" s="46">
        <v>164.22128499999999</v>
      </c>
      <c r="F8" s="10" t="s">
        <v>58</v>
      </c>
      <c r="G8" s="52">
        <f>Model!S11</f>
        <v>193.60000000000002</v>
      </c>
    </row>
    <row r="9" spans="3:7" x14ac:dyDescent="0.25">
      <c r="C9" s="47" t="s">
        <v>38</v>
      </c>
      <c r="D9" s="50">
        <f>+D7*D8</f>
        <v>137.9458794</v>
      </c>
      <c r="F9" s="54" t="s">
        <v>57</v>
      </c>
      <c r="G9" s="55">
        <f>D12/G8</f>
        <v>0.56790226962809909</v>
      </c>
    </row>
    <row r="10" spans="3:7" x14ac:dyDescent="0.25">
      <c r="C10" s="10" t="s">
        <v>43</v>
      </c>
      <c r="D10" s="52">
        <v>28</v>
      </c>
    </row>
    <row r="11" spans="3:7" x14ac:dyDescent="0.25">
      <c r="C11" s="26" t="s">
        <v>42</v>
      </c>
      <c r="D11" s="53">
        <v>0</v>
      </c>
      <c r="F11" s="10" t="s">
        <v>48</v>
      </c>
      <c r="G11" s="52">
        <v>40</v>
      </c>
    </row>
    <row r="12" spans="3:7" x14ac:dyDescent="0.25">
      <c r="C12" s="47" t="s">
        <v>39</v>
      </c>
      <c r="D12" s="51">
        <f>D9-D10+D11</f>
        <v>109.9458794</v>
      </c>
      <c r="F12" s="54" t="s">
        <v>44</v>
      </c>
      <c r="G12" s="55">
        <f>D12/G11</f>
        <v>2.7486469849999997</v>
      </c>
    </row>
    <row r="15" spans="3:7" x14ac:dyDescent="0.25">
      <c r="D15" s="63"/>
    </row>
    <row r="16" spans="3:7" x14ac:dyDescent="0.25">
      <c r="D16" s="98"/>
    </row>
  </sheetData>
  <mergeCells count="2">
    <mergeCell ref="C3:D3"/>
    <mergeCell ref="F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37FB4-786A-4F63-B751-DE346A647DA8}">
  <dimension ref="B1:X43"/>
  <sheetViews>
    <sheetView showGridLines="0" zoomScaleNormal="100" workbookViewId="0"/>
  </sheetViews>
  <sheetFormatPr defaultRowHeight="15" x14ac:dyDescent="0.25"/>
  <cols>
    <col min="1" max="1" width="4.140625" style="3" customWidth="1"/>
    <col min="2" max="2" width="19.5703125" style="3" customWidth="1"/>
    <col min="3" max="7" width="9.140625" style="3"/>
    <col min="8" max="8" width="9.85546875" style="3" bestFit="1" customWidth="1"/>
    <col min="9" max="10" width="9.140625" style="3"/>
    <col min="11" max="11" width="6.5703125" style="3" customWidth="1"/>
    <col min="12" max="17" width="9.140625" style="3"/>
    <col min="18" max="18" width="7.140625" style="3" customWidth="1"/>
    <col min="19" max="16384" width="9.140625" style="3"/>
  </cols>
  <sheetData>
    <row r="1" spans="2:24" x14ac:dyDescent="0.25">
      <c r="F1" s="4"/>
      <c r="G1" s="4"/>
      <c r="H1" s="4"/>
      <c r="I1" s="4"/>
      <c r="J1" s="4"/>
    </row>
    <row r="2" spans="2:24" x14ac:dyDescent="0.25">
      <c r="B2" s="23" t="s">
        <v>17</v>
      </c>
      <c r="C2" s="11"/>
      <c r="E2" s="15" t="s">
        <v>15</v>
      </c>
      <c r="F2" s="16"/>
      <c r="G2" s="16"/>
      <c r="H2" s="16"/>
      <c r="I2" s="16"/>
      <c r="J2" s="17"/>
      <c r="L2" s="15" t="s">
        <v>16</v>
      </c>
      <c r="M2" s="16"/>
      <c r="N2" s="16"/>
      <c r="O2" s="16"/>
      <c r="P2" s="16"/>
      <c r="Q2" s="17"/>
      <c r="S2" s="15" t="s">
        <v>53</v>
      </c>
      <c r="T2" s="16"/>
      <c r="U2" s="16"/>
      <c r="V2" s="16"/>
      <c r="W2" s="16"/>
      <c r="X2" s="17"/>
    </row>
    <row r="3" spans="2:24" x14ac:dyDescent="0.25">
      <c r="B3" s="22" t="s">
        <v>12</v>
      </c>
      <c r="C3" s="8">
        <v>2000</v>
      </c>
    </row>
    <row r="4" spans="2:24" x14ac:dyDescent="0.25">
      <c r="E4" s="13"/>
      <c r="F4" s="67" t="s">
        <v>14</v>
      </c>
      <c r="G4" s="67"/>
      <c r="H4" s="67"/>
      <c r="I4" s="67"/>
      <c r="J4" s="67"/>
      <c r="L4" s="13"/>
      <c r="M4" s="67" t="s">
        <v>14</v>
      </c>
      <c r="N4" s="67"/>
      <c r="O4" s="67"/>
      <c r="P4" s="67"/>
      <c r="Q4" s="67"/>
      <c r="S4" s="13"/>
      <c r="T4" s="67" t="s">
        <v>14</v>
      </c>
      <c r="U4" s="67"/>
      <c r="V4" s="67"/>
      <c r="W4" s="67"/>
      <c r="X4" s="67"/>
    </row>
    <row r="5" spans="2:24" x14ac:dyDescent="0.25">
      <c r="B5" s="22" t="s">
        <v>55</v>
      </c>
      <c r="C5" s="8">
        <f>Model!S17</f>
        <v>38.356999999999999</v>
      </c>
      <c r="E5" s="13"/>
      <c r="F5" s="27">
        <v>0.05</v>
      </c>
      <c r="G5" s="27">
        <v>0.1</v>
      </c>
      <c r="H5" s="27">
        <v>0.15</v>
      </c>
      <c r="I5" s="27">
        <v>0.2</v>
      </c>
      <c r="J5" s="27">
        <v>0.3</v>
      </c>
      <c r="L5" s="13"/>
      <c r="M5" s="68">
        <f>F5</f>
        <v>0.05</v>
      </c>
      <c r="N5" s="68">
        <f t="shared" ref="N5:Q5" si="0">G5</f>
        <v>0.1</v>
      </c>
      <c r="O5" s="68">
        <f t="shared" si="0"/>
        <v>0.15</v>
      </c>
      <c r="P5" s="68">
        <f t="shared" si="0"/>
        <v>0.2</v>
      </c>
      <c r="Q5" s="68">
        <f t="shared" si="0"/>
        <v>0.3</v>
      </c>
      <c r="S5" s="13"/>
      <c r="T5" s="68">
        <f>F5</f>
        <v>0.05</v>
      </c>
      <c r="U5" s="68">
        <f t="shared" ref="U5:X5" si="1">G5</f>
        <v>0.1</v>
      </c>
      <c r="V5" s="68">
        <f t="shared" si="1"/>
        <v>0.15</v>
      </c>
      <c r="W5" s="68">
        <f t="shared" si="1"/>
        <v>0.2</v>
      </c>
      <c r="X5" s="68">
        <f t="shared" si="1"/>
        <v>0.3</v>
      </c>
    </row>
    <row r="6" spans="2:24" x14ac:dyDescent="0.25">
      <c r="B6" s="22" t="s">
        <v>11</v>
      </c>
      <c r="C6" s="7">
        <v>0.5</v>
      </c>
      <c r="E6" s="75">
        <v>0.1</v>
      </c>
      <c r="F6" s="66">
        <f>$E6*($C$3*F$5)</f>
        <v>10</v>
      </c>
      <c r="G6" s="25">
        <f>$E6*($C$3*G$5)</f>
        <v>20</v>
      </c>
      <c r="H6" s="25">
        <f>$E6*($C$3*H$5)</f>
        <v>30</v>
      </c>
      <c r="I6" s="25">
        <f>$E6*($C$3*I$5)</f>
        <v>40</v>
      </c>
      <c r="J6" s="25">
        <f>$E6*($C$3*J$5)</f>
        <v>60</v>
      </c>
      <c r="L6" s="12">
        <f>E6</f>
        <v>0.1</v>
      </c>
      <c r="M6" s="66">
        <f>$C$5+(F6*$C$6)</f>
        <v>43.356999999999999</v>
      </c>
      <c r="N6" s="25">
        <f>$C$5+(G6*$C$6)</f>
        <v>48.356999999999999</v>
      </c>
      <c r="O6" s="25">
        <f>$C$5+(H6*$C$6)</f>
        <v>53.356999999999999</v>
      </c>
      <c r="P6" s="25">
        <f>$C$5+(I6*$C$6)</f>
        <v>58.356999999999999</v>
      </c>
      <c r="Q6" s="25">
        <f>$C$5+(J6*$C$6)</f>
        <v>68.356999999999999</v>
      </c>
      <c r="S6" s="12">
        <f>E6</f>
        <v>0.1</v>
      </c>
      <c r="T6" s="69">
        <f>(M6*$C$13+30)/Valuation!$D$8</f>
        <v>2.8228374902802642</v>
      </c>
      <c r="U6" s="70">
        <f>(N6*$C$13+30)/Valuation!$D$8</f>
        <v>3.1273047217965684</v>
      </c>
      <c r="V6" s="70">
        <f>(O6*$C$13+30)/Valuation!$D$8</f>
        <v>3.4317719533128725</v>
      </c>
      <c r="W6" s="70">
        <f>(P6*$C$13+30)/Valuation!$D$8</f>
        <v>3.7362391848291772</v>
      </c>
      <c r="X6" s="70">
        <f>(Q6*$C$13+30)/Valuation!$D$8</f>
        <v>4.3451736478617855</v>
      </c>
    </row>
    <row r="7" spans="2:24" x14ac:dyDescent="0.25">
      <c r="E7" s="75">
        <f>E6+0.1</f>
        <v>0.2</v>
      </c>
      <c r="F7" s="19">
        <f>$E7*($C$3*F$5)</f>
        <v>20</v>
      </c>
      <c r="G7" s="19">
        <f>$E7*($C$3*G$5)</f>
        <v>40</v>
      </c>
      <c r="H7" s="19">
        <f>$E7*($C$3*H$5)</f>
        <v>60</v>
      </c>
      <c r="I7" s="19">
        <f>$E7*($C$3*I$5)</f>
        <v>80</v>
      </c>
      <c r="J7" s="19">
        <f>$E7*($C$3*J$5)</f>
        <v>120</v>
      </c>
      <c r="L7" s="12">
        <f t="shared" ref="L7:L10" si="2">E7</f>
        <v>0.2</v>
      </c>
      <c r="M7" s="19">
        <f>$C$5+(F7*$C$6)</f>
        <v>48.356999999999999</v>
      </c>
      <c r="N7" s="19">
        <f>$C$5+(G7*$C$6)</f>
        <v>58.356999999999999</v>
      </c>
      <c r="O7" s="19">
        <f>$C$5+(H7*$C$6)</f>
        <v>68.356999999999999</v>
      </c>
      <c r="P7" s="19">
        <f>$C$5+(I7*$C$6)</f>
        <v>78.356999999999999</v>
      </c>
      <c r="Q7" s="19">
        <f>$C$5+(J7*$C$6)</f>
        <v>98.356999999999999</v>
      </c>
      <c r="S7" s="12">
        <f t="shared" ref="S7:S10" si="3">E7</f>
        <v>0.2</v>
      </c>
      <c r="T7" s="18">
        <f>(M7*$C$13+30)/Valuation!$D$8</f>
        <v>3.1273047217965684</v>
      </c>
      <c r="U7" s="18">
        <f>(N7*$C$13+30)/Valuation!$D$8</f>
        <v>3.7362391848291772</v>
      </c>
      <c r="V7" s="18">
        <f>(O7*$C$13+30)/Valuation!$D$8</f>
        <v>4.3451736478617855</v>
      </c>
      <c r="W7" s="18">
        <f>(P7*$C$13+30)/Valuation!$D$8</f>
        <v>4.9541081108943947</v>
      </c>
      <c r="X7" s="18">
        <f>(Q7*$C$13+30)/Valuation!$D$8</f>
        <v>6.1719770369596123</v>
      </c>
    </row>
    <row r="8" spans="2:24" x14ac:dyDescent="0.25">
      <c r="B8" s="22" t="s">
        <v>46</v>
      </c>
      <c r="C8" s="8">
        <v>10</v>
      </c>
      <c r="E8" s="75">
        <f t="shared" ref="E8:E10" si="4">E7+0.1</f>
        <v>0.30000000000000004</v>
      </c>
      <c r="F8" s="19">
        <f>$E8*($C$3*F$5)</f>
        <v>30.000000000000004</v>
      </c>
      <c r="G8" s="20">
        <f>$E8*($C$3*G$5)</f>
        <v>60.000000000000007</v>
      </c>
      <c r="H8" s="19">
        <f>$E8*($C$3*H$5)</f>
        <v>90.000000000000014</v>
      </c>
      <c r="I8" s="19">
        <f>$E8*($C$3*I$5)</f>
        <v>120.00000000000001</v>
      </c>
      <c r="J8" s="19">
        <f>$E8*($C$3*J$5)</f>
        <v>180.00000000000003</v>
      </c>
      <c r="L8" s="12">
        <f t="shared" si="2"/>
        <v>0.30000000000000004</v>
      </c>
      <c r="M8" s="19">
        <f>$C$5+(F8*$C$6)</f>
        <v>53.356999999999999</v>
      </c>
      <c r="N8" s="20">
        <f>$C$5+(G8*$C$6)</f>
        <v>68.356999999999999</v>
      </c>
      <c r="O8" s="19">
        <f>$C$5+(H8*$C$6)</f>
        <v>83.356999999999999</v>
      </c>
      <c r="P8" s="19">
        <f>$C$5+(I8*$C$6)</f>
        <v>98.356999999999999</v>
      </c>
      <c r="Q8" s="19">
        <f>$C$5+(J8*$C$6)</f>
        <v>128.35700000000003</v>
      </c>
      <c r="S8" s="12">
        <f t="shared" si="3"/>
        <v>0.30000000000000004</v>
      </c>
      <c r="T8" s="18">
        <f>(M8*$C$13+30)/Valuation!$D$8</f>
        <v>3.4317719533128725</v>
      </c>
      <c r="U8" s="21">
        <f>(N8*$C$13+30)/Valuation!$D$8</f>
        <v>4.3451736478617855</v>
      </c>
      <c r="V8" s="18">
        <f>(O8*$C$13+30)/Valuation!$D$8</f>
        <v>5.2585753424106985</v>
      </c>
      <c r="W8" s="18">
        <f>(P8*$C$13+30)/Valuation!$D$8</f>
        <v>6.1719770369596123</v>
      </c>
      <c r="X8" s="18">
        <f>(Q8*$C$13+30)/Valuation!$D$8</f>
        <v>7.9987804260574391</v>
      </c>
    </row>
    <row r="9" spans="2:24" x14ac:dyDescent="0.25">
      <c r="B9" s="22" t="s">
        <v>47</v>
      </c>
      <c r="C9" s="8">
        <v>12</v>
      </c>
      <c r="E9" s="75">
        <f t="shared" si="4"/>
        <v>0.4</v>
      </c>
      <c r="F9" s="19">
        <f>$E9*($C$3*F$5)</f>
        <v>40</v>
      </c>
      <c r="G9" s="19">
        <f>$E9*($C$3*G$5)</f>
        <v>80</v>
      </c>
      <c r="H9" s="19">
        <f>$E9*($C$3*H$5)</f>
        <v>120</v>
      </c>
      <c r="I9" s="19">
        <f>$E9*($C$3*I$5)</f>
        <v>160</v>
      </c>
      <c r="J9" s="19">
        <f>$E9*($C$3*J$5)</f>
        <v>240</v>
      </c>
      <c r="L9" s="12">
        <f t="shared" si="2"/>
        <v>0.4</v>
      </c>
      <c r="M9" s="19">
        <f>$C$5+(F9*$C$6)</f>
        <v>58.356999999999999</v>
      </c>
      <c r="N9" s="19">
        <f>$C$5+(G9*$C$6)</f>
        <v>78.356999999999999</v>
      </c>
      <c r="O9" s="19">
        <f>$C$5+(H9*$C$6)</f>
        <v>98.356999999999999</v>
      </c>
      <c r="P9" s="19">
        <f>$C$5+(I9*$C$6)</f>
        <v>118.357</v>
      </c>
      <c r="Q9" s="19">
        <f>$C$5+(J9*$C$6)</f>
        <v>158.357</v>
      </c>
      <c r="S9" s="12">
        <f t="shared" si="3"/>
        <v>0.4</v>
      </c>
      <c r="T9" s="18">
        <f>(M9*$C$13+30)/Valuation!$D$8</f>
        <v>3.7362391848291772</v>
      </c>
      <c r="U9" s="18">
        <f>(N9*$C$13+30)/Valuation!$D$8</f>
        <v>4.9541081108943947</v>
      </c>
      <c r="V9" s="18">
        <f>(O9*$C$13+30)/Valuation!$D$8</f>
        <v>6.1719770369596123</v>
      </c>
      <c r="W9" s="18">
        <f>(P9*$C$13+30)/Valuation!$D$8</f>
        <v>7.389845963024829</v>
      </c>
      <c r="X9" s="18">
        <f>(Q9*$C$13+30)/Valuation!$D$8</f>
        <v>9.8255838151552641</v>
      </c>
    </row>
    <row r="10" spans="2:24" x14ac:dyDescent="0.25">
      <c r="B10" s="22"/>
      <c r="C10" s="8"/>
      <c r="E10" s="75">
        <f t="shared" si="4"/>
        <v>0.5</v>
      </c>
      <c r="F10" s="19">
        <f>$E10*($C$3*F$5)</f>
        <v>50</v>
      </c>
      <c r="G10" s="19">
        <f>$E10*($C$3*G$5)</f>
        <v>100</v>
      </c>
      <c r="H10" s="19">
        <f>$E10*($C$3*H$5)</f>
        <v>150</v>
      </c>
      <c r="I10" s="19">
        <f>$E10*($C$3*I$5)</f>
        <v>200</v>
      </c>
      <c r="J10" s="19">
        <f>$E10*($C$3*J$5)</f>
        <v>300</v>
      </c>
      <c r="L10" s="12">
        <f t="shared" si="2"/>
        <v>0.5</v>
      </c>
      <c r="M10" s="19">
        <f>$C$5+(F10*$C$6)</f>
        <v>63.356999999999999</v>
      </c>
      <c r="N10" s="19">
        <f>$C$5+(G10*$C$6)</f>
        <v>88.356999999999999</v>
      </c>
      <c r="O10" s="19">
        <f>$C$5+(H10*$C$6)</f>
        <v>113.357</v>
      </c>
      <c r="P10" s="19">
        <f>$C$5+(I10*$C$6)</f>
        <v>138.357</v>
      </c>
      <c r="Q10" s="19">
        <f>$C$5+(J10*$C$6)</f>
        <v>188.357</v>
      </c>
      <c r="S10" s="12">
        <f t="shared" si="3"/>
        <v>0.5</v>
      </c>
      <c r="T10" s="18">
        <f>(M10*$C$13+30)/Valuation!$D$8</f>
        <v>4.0407064163454818</v>
      </c>
      <c r="U10" s="18">
        <f>(N10*$C$13+30)/Valuation!$D$8</f>
        <v>5.5630425739270031</v>
      </c>
      <c r="V10" s="18">
        <f>(O10*$C$13+30)/Valuation!$D$8</f>
        <v>7.0853787315085253</v>
      </c>
      <c r="W10" s="18">
        <f>(P10*$C$13+30)/Valuation!$D$8</f>
        <v>8.6077148890900474</v>
      </c>
      <c r="X10" s="18">
        <f>(Q10*$C$13+30)/Valuation!$D$8</f>
        <v>11.65238720425309</v>
      </c>
    </row>
    <row r="11" spans="2:24" x14ac:dyDescent="0.25">
      <c r="B11" s="22" t="s">
        <v>50</v>
      </c>
      <c r="C11" s="5">
        <f>SUM(C8,C9)</f>
        <v>22</v>
      </c>
      <c r="E11" s="6"/>
      <c r="F11" s="4"/>
      <c r="G11" s="4"/>
      <c r="H11" s="4"/>
      <c r="I11" s="4"/>
      <c r="J11" s="4"/>
      <c r="L11" s="6"/>
      <c r="M11" s="4"/>
      <c r="N11" s="4"/>
      <c r="O11" s="4"/>
      <c r="P11" s="4"/>
      <c r="Q11" s="4"/>
      <c r="S11" s="6"/>
      <c r="T11" s="4"/>
      <c r="U11" s="4"/>
      <c r="V11" s="4"/>
      <c r="W11" s="4"/>
      <c r="X11" s="4"/>
    </row>
    <row r="12" spans="2:24" x14ac:dyDescent="0.25">
      <c r="E12" s="14" t="s">
        <v>13</v>
      </c>
      <c r="F12" s="14"/>
      <c r="G12" s="14"/>
      <c r="H12" s="14"/>
      <c r="I12" s="14"/>
      <c r="J12" s="14"/>
      <c r="L12" s="14" t="s">
        <v>13</v>
      </c>
      <c r="M12" s="14"/>
      <c r="N12" s="14"/>
      <c r="O12" s="14"/>
      <c r="P12" s="14"/>
      <c r="Q12" s="14"/>
      <c r="S12" s="14" t="s">
        <v>13</v>
      </c>
      <c r="T12" s="14"/>
      <c r="U12" s="14"/>
      <c r="V12" s="14"/>
      <c r="W12" s="14"/>
      <c r="X12" s="14"/>
    </row>
    <row r="13" spans="2:24" x14ac:dyDescent="0.25">
      <c r="B13" s="22" t="s">
        <v>51</v>
      </c>
      <c r="C13" s="76">
        <v>10</v>
      </c>
      <c r="E13" s="6"/>
      <c r="F13" s="4"/>
      <c r="G13" s="4"/>
      <c r="H13" s="4"/>
      <c r="I13" s="4"/>
      <c r="J13" s="4"/>
    </row>
    <row r="14" spans="2:24" x14ac:dyDescent="0.25">
      <c r="L14" s="15" t="s">
        <v>54</v>
      </c>
      <c r="M14" s="16"/>
      <c r="N14" s="16"/>
      <c r="O14" s="16"/>
      <c r="P14" s="16"/>
      <c r="Q14" s="17"/>
      <c r="S14" s="15" t="s">
        <v>52</v>
      </c>
      <c r="T14" s="16"/>
      <c r="U14" s="16"/>
      <c r="V14" s="16"/>
      <c r="W14" s="16"/>
      <c r="X14" s="17"/>
    </row>
    <row r="15" spans="2:24" x14ac:dyDescent="0.25">
      <c r="L15" s="30"/>
      <c r="M15" s="30"/>
      <c r="N15" s="30"/>
      <c r="O15" s="30"/>
      <c r="P15" s="30"/>
      <c r="Q15" s="30"/>
    </row>
    <row r="16" spans="2:24" x14ac:dyDescent="0.25">
      <c r="L16" s="13"/>
      <c r="M16" s="71"/>
      <c r="N16" s="71"/>
      <c r="O16" s="71"/>
      <c r="P16" s="71"/>
      <c r="Q16" s="71"/>
      <c r="S16" s="13"/>
      <c r="T16" s="71"/>
      <c r="U16" s="71"/>
      <c r="V16" s="71"/>
      <c r="W16" s="71"/>
      <c r="X16" s="71"/>
    </row>
    <row r="17" spans="12:24" x14ac:dyDescent="0.25">
      <c r="L17" s="13"/>
      <c r="M17" s="68">
        <f>F5</f>
        <v>0.05</v>
      </c>
      <c r="N17" s="68">
        <f t="shared" ref="N17:Q17" si="5">G5</f>
        <v>0.1</v>
      </c>
      <c r="O17" s="68">
        <f t="shared" si="5"/>
        <v>0.15</v>
      </c>
      <c r="P17" s="68">
        <f t="shared" si="5"/>
        <v>0.2</v>
      </c>
      <c r="Q17" s="68">
        <f t="shared" si="5"/>
        <v>0.3</v>
      </c>
      <c r="S17" s="13"/>
      <c r="T17" s="68">
        <v>0.05</v>
      </c>
      <c r="U17" s="68">
        <v>0.1</v>
      </c>
      <c r="V17" s="68">
        <v>0.15</v>
      </c>
      <c r="W17" s="68">
        <v>0.2</v>
      </c>
      <c r="X17" s="68">
        <v>0.3</v>
      </c>
    </row>
    <row r="18" spans="12:24" x14ac:dyDescent="0.25">
      <c r="L18" s="12">
        <f>E6</f>
        <v>0.1</v>
      </c>
      <c r="M18" s="66">
        <f>(M6-$C$11)*0.79</f>
        <v>16.872029999999999</v>
      </c>
      <c r="N18" s="25">
        <f t="shared" ref="N18:Q18" si="6">(N6-$C$11)*0.79</f>
        <v>20.822030000000002</v>
      </c>
      <c r="O18" s="25">
        <f t="shared" si="6"/>
        <v>24.772030000000001</v>
      </c>
      <c r="P18" s="25">
        <f t="shared" si="6"/>
        <v>28.72203</v>
      </c>
      <c r="Q18" s="25">
        <f t="shared" si="6"/>
        <v>36.622030000000002</v>
      </c>
      <c r="S18" s="12">
        <f>E6</f>
        <v>0.1</v>
      </c>
      <c r="T18" s="73">
        <f>(M6*$C$13)/M18</f>
        <v>25.69755980756317</v>
      </c>
      <c r="U18" s="74">
        <f>(N6*$C$13)/N18</f>
        <v>23.223960391950254</v>
      </c>
      <c r="V18" s="74">
        <f>(O6*$C$13)/O18</f>
        <v>21.539211764235709</v>
      </c>
      <c r="W18" s="74">
        <f>(P6*$C$13)/P18</f>
        <v>20.317853577898216</v>
      </c>
      <c r="X18" s="74">
        <f>(Q6*$C$13)/Q18</f>
        <v>18.665540932602585</v>
      </c>
    </row>
    <row r="19" spans="12:24" x14ac:dyDescent="0.25">
      <c r="L19" s="12">
        <f t="shared" ref="L19:L22" si="7">E7</f>
        <v>0.2</v>
      </c>
      <c r="M19" s="19">
        <f t="shared" ref="M19:Q19" si="8">(M7-$C$11)*0.79</f>
        <v>20.822030000000002</v>
      </c>
      <c r="N19" s="19">
        <f t="shared" si="8"/>
        <v>28.72203</v>
      </c>
      <c r="O19" s="19">
        <f t="shared" si="8"/>
        <v>36.622030000000002</v>
      </c>
      <c r="P19" s="19">
        <f t="shared" si="8"/>
        <v>44.522030000000001</v>
      </c>
      <c r="Q19" s="19">
        <f t="shared" si="8"/>
        <v>60.322030000000005</v>
      </c>
      <c r="S19" s="12">
        <f t="shared" ref="S19:S22" si="9">E7</f>
        <v>0.2</v>
      </c>
      <c r="T19" s="9">
        <f>(M7*$C$13)/M19</f>
        <v>23.223960391950254</v>
      </c>
      <c r="U19" s="9">
        <f>(N7*$C$13)/N19</f>
        <v>20.317853577898216</v>
      </c>
      <c r="V19" s="9">
        <f>(O7*$C$13)/O19</f>
        <v>18.665540932602585</v>
      </c>
      <c r="W19" s="9">
        <f>(P7*$C$13)/P19</f>
        <v>17.599601815101423</v>
      </c>
      <c r="X19" s="9">
        <f>(Q7*$C$13)/Q19</f>
        <v>16.305319963535709</v>
      </c>
    </row>
    <row r="20" spans="12:24" x14ac:dyDescent="0.25">
      <c r="L20" s="12">
        <f t="shared" si="7"/>
        <v>0.30000000000000004</v>
      </c>
      <c r="M20" s="19">
        <f t="shared" ref="M20:Q20" si="10">(M8-$C$11)*0.79</f>
        <v>24.772030000000001</v>
      </c>
      <c r="N20" s="20">
        <f t="shared" si="10"/>
        <v>36.622030000000002</v>
      </c>
      <c r="O20" s="19">
        <f t="shared" si="10"/>
        <v>48.472030000000004</v>
      </c>
      <c r="P20" s="19">
        <f t="shared" si="10"/>
        <v>60.322030000000005</v>
      </c>
      <c r="Q20" s="19">
        <f t="shared" si="10"/>
        <v>84.022030000000029</v>
      </c>
      <c r="S20" s="12">
        <f t="shared" si="9"/>
        <v>0.30000000000000004</v>
      </c>
      <c r="T20" s="9">
        <f>(M8*$C$13)/M20</f>
        <v>21.539211764235709</v>
      </c>
      <c r="U20" s="72">
        <f>(N8*$C$13)/N20</f>
        <v>18.665540932602585</v>
      </c>
      <c r="V20" s="9">
        <f>(O8*$C$13)/O20</f>
        <v>17.196927795266671</v>
      </c>
      <c r="W20" s="9">
        <f>(P8*$C$13)/P20</f>
        <v>16.305319963535709</v>
      </c>
      <c r="X20" s="9">
        <f>(Q8*$C$13)/Q20</f>
        <v>15.276588770825933</v>
      </c>
    </row>
    <row r="21" spans="12:24" x14ac:dyDescent="0.25">
      <c r="L21" s="12">
        <f t="shared" si="7"/>
        <v>0.4</v>
      </c>
      <c r="M21" s="19">
        <f t="shared" ref="M21:Q21" si="11">(M9-$C$11)*0.79</f>
        <v>28.72203</v>
      </c>
      <c r="N21" s="19">
        <f t="shared" si="11"/>
        <v>44.522030000000001</v>
      </c>
      <c r="O21" s="19">
        <f t="shared" si="11"/>
        <v>60.322030000000005</v>
      </c>
      <c r="P21" s="19">
        <f t="shared" si="11"/>
        <v>76.122030000000009</v>
      </c>
      <c r="Q21" s="19">
        <f t="shared" si="11"/>
        <v>107.72203</v>
      </c>
      <c r="S21" s="12">
        <f t="shared" si="9"/>
        <v>0.4</v>
      </c>
      <c r="T21" s="9">
        <f>(M9*$C$13)/M21</f>
        <v>20.317853577898216</v>
      </c>
      <c r="U21" s="9">
        <f>(N9*$C$13)/N21</f>
        <v>17.599601815101423</v>
      </c>
      <c r="V21" s="9">
        <f>(O9*$C$13)/O21</f>
        <v>16.305319963535709</v>
      </c>
      <c r="W21" s="9">
        <f>(P9*$C$13)/P21</f>
        <v>15.548324184207907</v>
      </c>
      <c r="X21" s="9">
        <f>(Q9*$C$13)/Q21</f>
        <v>14.700521332544511</v>
      </c>
    </row>
    <row r="22" spans="12:24" x14ac:dyDescent="0.25">
      <c r="L22" s="12">
        <f t="shared" si="7"/>
        <v>0.5</v>
      </c>
      <c r="M22" s="19">
        <f t="shared" ref="M22:Q22" si="12">(M10-$C$11)*0.79</f>
        <v>32.672029999999999</v>
      </c>
      <c r="N22" s="19">
        <f t="shared" si="12"/>
        <v>52.422029999999999</v>
      </c>
      <c r="O22" s="19">
        <f t="shared" si="12"/>
        <v>72.172030000000007</v>
      </c>
      <c r="P22" s="19">
        <f t="shared" si="12"/>
        <v>91.922030000000007</v>
      </c>
      <c r="Q22" s="19">
        <f t="shared" si="12"/>
        <v>131.42203000000001</v>
      </c>
      <c r="S22" s="12">
        <f t="shared" si="9"/>
        <v>0.5</v>
      </c>
      <c r="T22" s="9">
        <f>(M10*$C$13)/M22</f>
        <v>19.391816180384261</v>
      </c>
      <c r="U22" s="9">
        <f>(N10*$C$13)/N22</f>
        <v>16.854936750827846</v>
      </c>
      <c r="V22" s="9">
        <f>(O10*$C$13)/O22</f>
        <v>15.706500149711735</v>
      </c>
      <c r="W22" s="9">
        <f>(P10*$C$13)/P22</f>
        <v>15.051560545388302</v>
      </c>
      <c r="X22" s="9">
        <f>(Q10*$C$13)/Q22</f>
        <v>14.33222420928972</v>
      </c>
    </row>
    <row r="25" spans="12:24" x14ac:dyDescent="0.25">
      <c r="S25" s="15" t="s">
        <v>56</v>
      </c>
      <c r="T25" s="16"/>
      <c r="U25" s="16"/>
      <c r="V25" s="16"/>
      <c r="W25" s="16"/>
      <c r="X25" s="17"/>
    </row>
    <row r="27" spans="12:24" x14ac:dyDescent="0.25">
      <c r="L27" s="6"/>
      <c r="M27" s="4"/>
      <c r="N27" s="4"/>
      <c r="O27" s="4"/>
      <c r="P27" s="4"/>
      <c r="Q27" s="4"/>
      <c r="S27" s="13"/>
      <c r="T27" s="67"/>
      <c r="U27" s="67"/>
      <c r="V27" s="67"/>
      <c r="W27" s="67"/>
      <c r="X27" s="67"/>
    </row>
    <row r="28" spans="12:24" x14ac:dyDescent="0.25">
      <c r="S28" s="13"/>
      <c r="T28" s="68">
        <f>F5</f>
        <v>0.05</v>
      </c>
      <c r="U28" s="68">
        <f t="shared" ref="U28:X28" si="13">G5</f>
        <v>0.1</v>
      </c>
      <c r="V28" s="68">
        <f t="shared" si="13"/>
        <v>0.15</v>
      </c>
      <c r="W28" s="68">
        <f t="shared" si="13"/>
        <v>0.2</v>
      </c>
      <c r="X28" s="68">
        <f t="shared" si="13"/>
        <v>0.3</v>
      </c>
    </row>
    <row r="29" spans="12:24" x14ac:dyDescent="0.25">
      <c r="S29" s="12">
        <f>E6</f>
        <v>0.1</v>
      </c>
      <c r="T29" s="48">
        <f>T6/Valuation!$D$7-1</f>
        <v>2.3605208217622193</v>
      </c>
      <c r="U29" s="48">
        <f>U6/Valuation!$D$7-1</f>
        <v>2.7229818116625815</v>
      </c>
      <c r="V29" s="48">
        <f>V6/Valuation!$D$7-1</f>
        <v>3.0854428015629436</v>
      </c>
      <c r="W29" s="48">
        <f>W6/Valuation!$D$7-1</f>
        <v>3.4479037914633066</v>
      </c>
      <c r="X29" s="48">
        <f>X6/Valuation!$D$7-1</f>
        <v>4.1728257712640309</v>
      </c>
    </row>
    <row r="30" spans="12:24" x14ac:dyDescent="0.25">
      <c r="S30" s="12">
        <f t="shared" ref="S30:S33" si="14">E7</f>
        <v>0.2</v>
      </c>
      <c r="T30" s="48">
        <f>T7/Valuation!$D$7-1</f>
        <v>2.7229818116625815</v>
      </c>
      <c r="U30" s="48">
        <f>U7/Valuation!$D$7-1</f>
        <v>3.4479037914633066</v>
      </c>
      <c r="V30" s="48">
        <f>V7/Valuation!$D$7-1</f>
        <v>4.1728257712640309</v>
      </c>
      <c r="W30" s="48">
        <f>W7/Valuation!$D$7-1</f>
        <v>4.897747751064756</v>
      </c>
      <c r="X30" s="48">
        <f>X7/Valuation!$D$7-1</f>
        <v>6.3475917106662054</v>
      </c>
    </row>
    <row r="31" spans="12:24" x14ac:dyDescent="0.25">
      <c r="S31" s="12">
        <f t="shared" si="14"/>
        <v>0.30000000000000004</v>
      </c>
      <c r="T31" s="48">
        <f>T8/Valuation!$D$7-1</f>
        <v>3.0854428015629436</v>
      </c>
      <c r="U31" s="77">
        <f>U8/Valuation!$D$7-1</f>
        <v>4.1728257712640309</v>
      </c>
      <c r="V31" s="48">
        <f>V8/Valuation!$D$7-1</f>
        <v>5.2602087409651173</v>
      </c>
      <c r="W31" s="48">
        <f>W8/Valuation!$D$7-1</f>
        <v>6.3475917106662054</v>
      </c>
      <c r="X31" s="48">
        <f>X8/Valuation!$D$7-1</f>
        <v>8.5223576500683809</v>
      </c>
    </row>
    <row r="32" spans="12:24" x14ac:dyDescent="0.25">
      <c r="S32" s="12">
        <f t="shared" si="14"/>
        <v>0.4</v>
      </c>
      <c r="T32" s="48">
        <f>T9/Valuation!$D$7-1</f>
        <v>3.4479037914633066</v>
      </c>
      <c r="U32" s="48">
        <f>U9/Valuation!$D$7-1</f>
        <v>4.897747751064756</v>
      </c>
      <c r="V32" s="48">
        <f>V9/Valuation!$D$7-1</f>
        <v>6.3475917106662054</v>
      </c>
      <c r="W32" s="48">
        <f>W9/Valuation!$D$7-1</f>
        <v>7.7974356702676531</v>
      </c>
      <c r="X32" s="48">
        <f>X9/Valuation!$D$7-1</f>
        <v>10.697123589470554</v>
      </c>
    </row>
    <row r="33" spans="6:24" x14ac:dyDescent="0.25">
      <c r="S33" s="12">
        <f t="shared" si="14"/>
        <v>0.5</v>
      </c>
      <c r="T33" s="48">
        <f>T10/Valuation!$D$7-1</f>
        <v>3.8103647813636687</v>
      </c>
      <c r="U33" s="48">
        <f>U10/Valuation!$D$7-1</f>
        <v>5.6226697308654803</v>
      </c>
      <c r="V33" s="48">
        <f>V10/Valuation!$D$7-1</f>
        <v>7.4349746803672918</v>
      </c>
      <c r="W33" s="48">
        <f>W10/Valuation!$D$7-1</f>
        <v>9.2472796298691051</v>
      </c>
      <c r="X33" s="48">
        <f>X10/Valuation!$D$7-1</f>
        <v>12.871889528872726</v>
      </c>
    </row>
    <row r="36" spans="6:24" x14ac:dyDescent="0.25">
      <c r="F36" s="9"/>
      <c r="G36" s="9"/>
      <c r="H36" s="9"/>
      <c r="I36" s="9"/>
      <c r="J36" s="9"/>
    </row>
    <row r="37" spans="6:24" x14ac:dyDescent="0.25">
      <c r="F37" s="9"/>
      <c r="G37" s="9"/>
      <c r="H37" s="9"/>
      <c r="I37" s="9"/>
      <c r="J37" s="9"/>
    </row>
    <row r="38" spans="6:24" x14ac:dyDescent="0.25">
      <c r="M38" s="78"/>
    </row>
    <row r="39" spans="6:24" x14ac:dyDescent="0.25">
      <c r="F39" s="9"/>
      <c r="G39" s="9"/>
      <c r="H39" s="9"/>
      <c r="I39" s="9"/>
      <c r="J39" s="9"/>
      <c r="M39" s="65"/>
    </row>
    <row r="40" spans="6:24" x14ac:dyDescent="0.25">
      <c r="F40" s="9"/>
      <c r="G40" s="9"/>
      <c r="H40" s="9"/>
      <c r="I40" s="9"/>
      <c r="J40" s="9"/>
    </row>
    <row r="41" spans="6:24" x14ac:dyDescent="0.25">
      <c r="F41" s="9"/>
      <c r="G41" s="9"/>
      <c r="H41" s="9"/>
      <c r="I41" s="9"/>
      <c r="J41" s="9"/>
    </row>
    <row r="42" spans="6:24" x14ac:dyDescent="0.25">
      <c r="F42" s="9"/>
      <c r="G42" s="9"/>
      <c r="H42" s="9"/>
      <c r="I42" s="9"/>
      <c r="J42" s="9"/>
    </row>
    <row r="43" spans="6:24" x14ac:dyDescent="0.25">
      <c r="F43" s="9"/>
      <c r="G43" s="9"/>
      <c r="H43" s="9"/>
      <c r="I43" s="9"/>
      <c r="J43" s="9"/>
    </row>
  </sheetData>
  <mergeCells count="10">
    <mergeCell ref="S25:X25"/>
    <mergeCell ref="T27:X27"/>
    <mergeCell ref="E2:J2"/>
    <mergeCell ref="L2:Q2"/>
    <mergeCell ref="S2:X2"/>
    <mergeCell ref="L14:Q14"/>
    <mergeCell ref="S14:X14"/>
    <mergeCell ref="F4:J4"/>
    <mergeCell ref="M4:Q4"/>
    <mergeCell ref="T4:X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56AAC-00F3-4AB3-BBF6-378FB7F83CCB}">
  <dimension ref="E3:K22"/>
  <sheetViews>
    <sheetView showGridLines="0" workbookViewId="0"/>
  </sheetViews>
  <sheetFormatPr defaultRowHeight="15" x14ac:dyDescent="0.25"/>
  <cols>
    <col min="7" max="7" width="14" customWidth="1"/>
    <col min="8" max="8" width="11.7109375" customWidth="1"/>
    <col min="9" max="9" width="10.140625" customWidth="1"/>
    <col min="10" max="10" width="12.5703125" customWidth="1"/>
    <col min="11" max="11" width="12" customWidth="1"/>
  </cols>
  <sheetData>
    <row r="3" spans="5:11" x14ac:dyDescent="0.25">
      <c r="E3" s="33" t="s">
        <v>35</v>
      </c>
      <c r="F3" s="35"/>
      <c r="G3" s="35"/>
      <c r="H3" s="38" t="s">
        <v>27</v>
      </c>
      <c r="I3" s="38"/>
      <c r="J3" s="38" t="s">
        <v>28</v>
      </c>
      <c r="K3" s="37"/>
    </row>
    <row r="4" spans="5:11" x14ac:dyDescent="0.25">
      <c r="E4" s="3"/>
      <c r="F4" s="3"/>
      <c r="G4" s="3"/>
      <c r="H4" s="3"/>
      <c r="I4" s="3"/>
      <c r="J4" s="3"/>
    </row>
    <row r="5" spans="5:11" x14ac:dyDescent="0.25">
      <c r="E5" s="10" t="s">
        <v>4</v>
      </c>
      <c r="F5" s="3"/>
      <c r="G5" s="3"/>
      <c r="H5" s="19">
        <v>1000000</v>
      </c>
      <c r="I5" s="19"/>
      <c r="J5" s="19">
        <v>1000000</v>
      </c>
    </row>
    <row r="6" spans="5:11" x14ac:dyDescent="0.25">
      <c r="E6" s="26" t="s">
        <v>18</v>
      </c>
      <c r="F6" s="11"/>
      <c r="G6" s="11"/>
      <c r="H6" s="24">
        <f>H5*H8</f>
        <v>500000</v>
      </c>
      <c r="I6" s="24"/>
      <c r="J6" s="24">
        <f>J5*J8</f>
        <v>500000</v>
      </c>
      <c r="K6" s="32"/>
    </row>
    <row r="7" spans="5:11" x14ac:dyDescent="0.25">
      <c r="E7" s="39" t="s">
        <v>24</v>
      </c>
      <c r="F7" s="13"/>
      <c r="G7" s="3"/>
      <c r="H7" s="29">
        <f>H5-H6</f>
        <v>500000</v>
      </c>
      <c r="I7" s="29"/>
      <c r="J7" s="29">
        <f>J5-J6</f>
        <v>500000</v>
      </c>
    </row>
    <row r="8" spans="5:11" x14ac:dyDescent="0.25">
      <c r="E8" s="40" t="s">
        <v>19</v>
      </c>
      <c r="F8" s="3"/>
      <c r="G8" s="3"/>
      <c r="H8" s="7">
        <v>0.5</v>
      </c>
      <c r="I8" s="7"/>
      <c r="J8" s="7">
        <v>0.5</v>
      </c>
    </row>
    <row r="9" spans="5:11" x14ac:dyDescent="0.25">
      <c r="E9" s="10" t="s">
        <v>20</v>
      </c>
      <c r="F9" s="3"/>
      <c r="G9" s="3"/>
      <c r="H9" s="19">
        <f>H5*H10</f>
        <v>350000</v>
      </c>
      <c r="I9" s="19"/>
      <c r="J9" s="19">
        <f>J5*J10</f>
        <v>350000</v>
      </c>
    </row>
    <row r="10" spans="5:11" x14ac:dyDescent="0.25">
      <c r="E10" s="41" t="s">
        <v>22</v>
      </c>
      <c r="F10" s="11"/>
      <c r="G10" s="11"/>
      <c r="H10" s="27">
        <v>0.35</v>
      </c>
      <c r="I10" s="27"/>
      <c r="J10" s="27">
        <v>0.35</v>
      </c>
      <c r="K10" s="32"/>
    </row>
    <row r="11" spans="5:11" x14ac:dyDescent="0.25">
      <c r="E11" s="10" t="s">
        <v>21</v>
      </c>
      <c r="F11" s="3"/>
      <c r="G11" s="3"/>
      <c r="H11" s="19">
        <f>H6-H9</f>
        <v>150000</v>
      </c>
      <c r="I11" s="19"/>
      <c r="J11" s="19">
        <f>J6-J9</f>
        <v>150000</v>
      </c>
    </row>
    <row r="12" spans="5:11" x14ac:dyDescent="0.25">
      <c r="E12" s="10" t="s">
        <v>23</v>
      </c>
      <c r="F12" s="4"/>
      <c r="G12" s="3"/>
      <c r="H12" s="19">
        <f>H7*H13</f>
        <v>105000</v>
      </c>
      <c r="I12" s="19"/>
      <c r="J12" s="19">
        <f>J11*J13</f>
        <v>31500</v>
      </c>
    </row>
    <row r="13" spans="5:11" x14ac:dyDescent="0.25">
      <c r="E13" s="41" t="s">
        <v>29</v>
      </c>
      <c r="F13" s="28"/>
      <c r="G13" s="11"/>
      <c r="H13" s="27">
        <v>0.21</v>
      </c>
      <c r="I13" s="31" t="s">
        <v>30</v>
      </c>
      <c r="J13" s="27">
        <v>0.21</v>
      </c>
      <c r="K13" s="31" t="s">
        <v>31</v>
      </c>
    </row>
    <row r="14" spans="5:11" x14ac:dyDescent="0.25">
      <c r="E14" s="10" t="s">
        <v>25</v>
      </c>
      <c r="F14" s="9"/>
      <c r="G14" s="3"/>
      <c r="H14" s="19">
        <f>H11-H12</f>
        <v>45000</v>
      </c>
      <c r="I14" s="19"/>
      <c r="J14" s="19">
        <f>J11-J12</f>
        <v>118500</v>
      </c>
    </row>
    <row r="15" spans="5:11" x14ac:dyDescent="0.25">
      <c r="E15" s="40" t="s">
        <v>26</v>
      </c>
      <c r="F15" s="9"/>
      <c r="G15" s="3"/>
      <c r="H15" s="6">
        <f>H14/H5</f>
        <v>4.4999999999999998E-2</v>
      </c>
      <c r="I15" s="6"/>
      <c r="J15" s="6">
        <f>J14/J5</f>
        <v>0.11849999999999999</v>
      </c>
    </row>
    <row r="16" spans="5:11" x14ac:dyDescent="0.25">
      <c r="E16" s="1"/>
      <c r="G16" s="3"/>
    </row>
    <row r="17" spans="5:11" x14ac:dyDescent="0.25">
      <c r="E17" s="42" t="s">
        <v>32</v>
      </c>
      <c r="F17" s="34"/>
      <c r="G17" s="35"/>
      <c r="H17" s="36">
        <f>H12/H11</f>
        <v>0.7</v>
      </c>
      <c r="I17" s="34"/>
      <c r="J17" s="36">
        <f>J12/J11</f>
        <v>0.21</v>
      </c>
      <c r="K17" s="37"/>
    </row>
    <row r="18" spans="5:11" x14ac:dyDescent="0.25">
      <c r="E18" s="1"/>
      <c r="G18" s="3"/>
    </row>
    <row r="19" spans="5:11" x14ac:dyDescent="0.25">
      <c r="E19" s="10" t="s">
        <v>33</v>
      </c>
      <c r="J19" s="19">
        <f>J14-H14</f>
        <v>73500</v>
      </c>
    </row>
    <row r="20" spans="5:11" x14ac:dyDescent="0.25">
      <c r="E20" s="40" t="s">
        <v>34</v>
      </c>
      <c r="J20" s="6">
        <f>J14/H14-1</f>
        <v>1.6333333333333333</v>
      </c>
    </row>
    <row r="21" spans="5:11" x14ac:dyDescent="0.25">
      <c r="E21" s="2"/>
    </row>
    <row r="22" spans="5:11" x14ac:dyDescent="0.25">
      <c r="E22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Model</vt:lpstr>
      <vt:lpstr>Valuation</vt:lpstr>
      <vt:lpstr>Scenario</vt:lpstr>
      <vt:lpstr>280e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 Square Capital</dc:creator>
  <cp:lastModifiedBy>Armando Tamez</cp:lastModifiedBy>
  <dcterms:created xsi:type="dcterms:W3CDTF">2024-01-22T06:30:36Z</dcterms:created>
  <dcterms:modified xsi:type="dcterms:W3CDTF">2024-02-04T01:55:06Z</dcterms:modified>
</cp:coreProperties>
</file>