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ame\Dropbox\"/>
    </mc:Choice>
  </mc:AlternateContent>
  <xr:revisionPtr revIDLastSave="0" documentId="13_ncr:1_{657B7A8D-50B3-423E-8E59-C2D64E5B0EC2}" xr6:coauthVersionLast="47" xr6:coauthVersionMax="47" xr10:uidLastSave="{00000000-0000-0000-0000-000000000000}"/>
  <bookViews>
    <workbookView xWindow="-120" yWindow="-120" windowWidth="29040" windowHeight="15990" xr2:uid="{92A8A37C-6D1F-4FBB-84B9-C5155832EB18}"/>
  </bookViews>
  <sheets>
    <sheet name="Model" sheetId="1" r:id="rId1"/>
    <sheet name="Val" sheetId="2" r:id="rId2"/>
    <sheet name="Fx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8" i="1" l="1"/>
  <c r="X19" i="1"/>
  <c r="G23" i="2"/>
  <c r="X24" i="1"/>
  <c r="W24" i="1"/>
  <c r="Y19" i="1"/>
  <c r="Y18" i="1"/>
  <c r="Y25" i="1"/>
  <c r="Y24" i="1"/>
  <c r="Y5" i="1"/>
  <c r="Y2" i="1"/>
  <c r="V29" i="1"/>
  <c r="V30" i="1" s="1"/>
  <c r="U29" i="1"/>
  <c r="U30" i="1" s="1"/>
  <c r="T29" i="1"/>
  <c r="T30" i="1" s="1"/>
  <c r="W25" i="1"/>
  <c r="X25" i="1" s="1"/>
  <c r="V26" i="1"/>
  <c r="U26" i="1"/>
  <c r="T26" i="1"/>
  <c r="X5" i="1"/>
  <c r="V8" i="1"/>
  <c r="W8" i="1"/>
  <c r="W18" i="1"/>
  <c r="V18" i="1"/>
  <c r="U18" i="1"/>
  <c r="T18" i="1"/>
  <c r="V14" i="1"/>
  <c r="U14" i="1"/>
  <c r="T14" i="1"/>
  <c r="V4" i="1"/>
  <c r="U4" i="1"/>
  <c r="U5" i="1" s="1"/>
  <c r="U9" i="1" s="1"/>
  <c r="T4" i="1"/>
  <c r="U2" i="1"/>
  <c r="V2" i="1" s="1"/>
  <c r="W2" i="1" s="1"/>
  <c r="X2" i="1" s="1"/>
  <c r="O8" i="4"/>
  <c r="N8" i="4"/>
  <c r="M8" i="4"/>
  <c r="L8" i="4"/>
  <c r="K8" i="4"/>
  <c r="K9" i="1"/>
  <c r="L9" i="1"/>
  <c r="M9" i="1"/>
  <c r="N9" i="1"/>
  <c r="O9" i="1"/>
  <c r="R21" i="4"/>
  <c r="Q21" i="4"/>
  <c r="P21" i="4"/>
  <c r="O21" i="4"/>
  <c r="N21" i="4"/>
  <c r="M21" i="4"/>
  <c r="L21" i="4"/>
  <c r="K21" i="4"/>
  <c r="P20" i="4"/>
  <c r="O20" i="4"/>
  <c r="N20" i="4"/>
  <c r="M20" i="4"/>
  <c r="L20" i="4"/>
  <c r="K20" i="4"/>
  <c r="Q16" i="4"/>
  <c r="Q20" i="4" s="1"/>
  <c r="R15" i="4"/>
  <c r="P15" i="4"/>
  <c r="O15" i="4"/>
  <c r="N15" i="4"/>
  <c r="N19" i="4" s="1"/>
  <c r="M15" i="4"/>
  <c r="M19" i="4" s="1"/>
  <c r="L15" i="4"/>
  <c r="L19" i="4" s="1"/>
  <c r="K15" i="4"/>
  <c r="K19" i="4" s="1"/>
  <c r="K13" i="4"/>
  <c r="L13" i="4" s="1"/>
  <c r="L12" i="4"/>
  <c r="M12" i="4" s="1"/>
  <c r="N12" i="4" s="1"/>
  <c r="O12" i="4" s="1"/>
  <c r="P12" i="4" s="1"/>
  <c r="Q12" i="4" s="1"/>
  <c r="R12" i="4" s="1"/>
  <c r="L11" i="4"/>
  <c r="M11" i="4" s="1"/>
  <c r="O6" i="4"/>
  <c r="O24" i="4" s="1"/>
  <c r="N6" i="4"/>
  <c r="N24" i="4" s="1"/>
  <c r="M6" i="4"/>
  <c r="M24" i="4" s="1"/>
  <c r="L6" i="4"/>
  <c r="L24" i="4" s="1"/>
  <c r="K6" i="4"/>
  <c r="K24" i="4" s="1"/>
  <c r="J6" i="4"/>
  <c r="I6" i="4"/>
  <c r="H6" i="4"/>
  <c r="G6" i="4"/>
  <c r="C6" i="2"/>
  <c r="C7" i="2" s="1"/>
  <c r="C12" i="2" s="1"/>
  <c r="C15" i="2"/>
  <c r="C26" i="2" s="1"/>
  <c r="C14" i="2"/>
  <c r="C23" i="2" s="1"/>
  <c r="U15" i="1" l="1"/>
  <c r="T15" i="1"/>
  <c r="V5" i="1"/>
  <c r="V9" i="1" s="1"/>
  <c r="C28" i="2"/>
  <c r="V15" i="1"/>
  <c r="U16" i="1"/>
  <c r="R19" i="4"/>
  <c r="P19" i="4"/>
  <c r="Q19" i="4"/>
  <c r="K23" i="4"/>
  <c r="O10" i="1"/>
  <c r="P10" i="1" s="1"/>
  <c r="P9" i="1" s="1"/>
  <c r="O19" i="4"/>
  <c r="L23" i="4"/>
  <c r="M13" i="4"/>
  <c r="N13" i="4" s="1"/>
  <c r="O13" i="4" s="1"/>
  <c r="P13" i="4" s="1"/>
  <c r="Q13" i="4" s="1"/>
  <c r="R13" i="4" s="1"/>
  <c r="M23" i="4"/>
  <c r="N11" i="4"/>
  <c r="R16" i="4"/>
  <c r="R20" i="4" s="1"/>
  <c r="C21" i="2"/>
  <c r="C16" i="2"/>
  <c r="C17" i="2" s="1"/>
  <c r="Q10" i="1" l="1"/>
  <c r="R10" i="1" s="1"/>
  <c r="R9" i="1" s="1"/>
  <c r="O11" i="4"/>
  <c r="N23" i="4"/>
  <c r="C30" i="2"/>
  <c r="C29" i="2"/>
  <c r="Q9" i="1" l="1"/>
  <c r="O23" i="4"/>
  <c r="P11" i="4"/>
  <c r="G6" i="2"/>
  <c r="P23" i="4" l="1"/>
  <c r="Q11" i="4"/>
  <c r="Q23" i="4" l="1"/>
  <c r="R11" i="4"/>
  <c r="R23" i="4" s="1"/>
  <c r="O19" i="1" l="1"/>
  <c r="W19" i="1" s="1"/>
  <c r="O22" i="1"/>
  <c r="O12" i="1"/>
  <c r="O15" i="1"/>
  <c r="O5" i="1"/>
  <c r="D19" i="1"/>
  <c r="E19" i="1"/>
  <c r="F19" i="1"/>
  <c r="G19" i="1"/>
  <c r="H19" i="1"/>
  <c r="I19" i="1"/>
  <c r="J19" i="1"/>
  <c r="K19" i="1"/>
  <c r="V19" i="1" s="1"/>
  <c r="V21" i="1" s="1"/>
  <c r="V22" i="1" s="1"/>
  <c r="L19" i="1"/>
  <c r="M19" i="1"/>
  <c r="N19" i="1"/>
  <c r="C19" i="1"/>
  <c r="C12" i="1"/>
  <c r="C22" i="1"/>
  <c r="C15" i="1"/>
  <c r="G5" i="1"/>
  <c r="H5" i="1"/>
  <c r="H6" i="1" s="1"/>
  <c r="H9" i="1" s="1"/>
  <c r="L10" i="1" s="1"/>
  <c r="D12" i="1"/>
  <c r="D15" i="1"/>
  <c r="D22" i="1"/>
  <c r="E22" i="1"/>
  <c r="E12" i="1"/>
  <c r="E15" i="1"/>
  <c r="I5" i="1"/>
  <c r="I6" i="1" s="1"/>
  <c r="I9" i="1" s="1"/>
  <c r="M10" i="1" s="1"/>
  <c r="J5" i="1"/>
  <c r="J6" i="1" s="1"/>
  <c r="J9" i="1" s="1"/>
  <c r="N10" i="1" s="1"/>
  <c r="N15" i="1"/>
  <c r="M15" i="1"/>
  <c r="L15" i="1"/>
  <c r="K15" i="1"/>
  <c r="J15" i="1"/>
  <c r="I15" i="1"/>
  <c r="H15" i="1"/>
  <c r="G15" i="1"/>
  <c r="F15" i="1"/>
  <c r="M22" i="1"/>
  <c r="L22" i="1"/>
  <c r="K22" i="1"/>
  <c r="J22" i="1"/>
  <c r="I22" i="1"/>
  <c r="H22" i="1"/>
  <c r="G22" i="1"/>
  <c r="F22" i="1"/>
  <c r="N22" i="1"/>
  <c r="F12" i="1"/>
  <c r="G12" i="1"/>
  <c r="K12" i="1"/>
  <c r="K5" i="1"/>
  <c r="L5" i="1"/>
  <c r="M5" i="1"/>
  <c r="N5" i="1"/>
  <c r="H12" i="1"/>
  <c r="L12" i="1"/>
  <c r="M12" i="1"/>
  <c r="I12" i="1"/>
  <c r="N12" i="1"/>
  <c r="J12" i="1"/>
  <c r="T12" i="1" l="1"/>
  <c r="T19" i="1"/>
  <c r="T21" i="1" s="1"/>
  <c r="T22" i="1" s="1"/>
  <c r="U12" i="1"/>
  <c r="U19" i="1"/>
  <c r="U21" i="1" s="1"/>
  <c r="U22" i="1" s="1"/>
  <c r="V12" i="1"/>
  <c r="P6" i="1"/>
  <c r="P5" i="1" s="1"/>
  <c r="Q6" i="1"/>
  <c r="R6" i="1"/>
  <c r="R5" i="1" l="1"/>
  <c r="R4" i="1" s="1"/>
  <c r="Q5" i="1"/>
  <c r="Q4" i="1" s="1"/>
  <c r="P4" i="1"/>
  <c r="P14" i="1" s="1"/>
  <c r="R14" i="1" l="1"/>
  <c r="R12" i="1" s="1"/>
  <c r="Q14" i="1"/>
  <c r="W4" i="1"/>
  <c r="P21" i="1"/>
  <c r="P22" i="1" s="1"/>
  <c r="P15" i="1"/>
  <c r="P12" i="1"/>
  <c r="W5" i="1" l="1"/>
  <c r="W9" i="1" s="1"/>
  <c r="X4" i="1"/>
  <c r="Y4" i="1" s="1"/>
  <c r="Q12" i="1"/>
  <c r="W12" i="1" s="1"/>
  <c r="W14" i="1"/>
  <c r="W21" i="1" s="1"/>
  <c r="R21" i="1"/>
  <c r="R22" i="1" s="1"/>
  <c r="R15" i="1"/>
  <c r="Q15" i="1"/>
  <c r="Q21" i="1"/>
  <c r="Q22" i="1" s="1"/>
  <c r="G8" i="2" l="1"/>
  <c r="G9" i="2" s="1"/>
  <c r="W26" i="1"/>
  <c r="W29" i="1" s="1"/>
  <c r="W22" i="1"/>
  <c r="W15" i="1"/>
  <c r="W16" i="1"/>
  <c r="X14" i="1"/>
  <c r="X12" i="1" l="1"/>
  <c r="Y14" i="1"/>
  <c r="G24" i="2"/>
  <c r="W30" i="1"/>
  <c r="X21" i="1"/>
  <c r="X15" i="1"/>
  <c r="Y21" i="1" l="1"/>
  <c r="Y15" i="1"/>
  <c r="Y12" i="1"/>
  <c r="X26" i="1"/>
  <c r="X29" i="1" s="1"/>
  <c r="X22" i="1"/>
  <c r="G12" i="2"/>
  <c r="G13" i="2" s="1"/>
  <c r="Y22" i="1" l="1"/>
  <c r="Y26" i="1"/>
  <c r="Y29" i="1" s="1"/>
  <c r="Y30" i="1" s="1"/>
  <c r="X30" i="1"/>
  <c r="G16" i="2"/>
  <c r="G17" i="2" l="1"/>
  <c r="G22" i="2"/>
  <c r="G30" i="2" l="1"/>
  <c r="G25" i="2"/>
  <c r="G26" i="2" s="1"/>
  <c r="G27" i="2" s="1"/>
  <c r="G29" i="2"/>
</calcChain>
</file>

<file path=xl/sharedStrings.xml><?xml version="1.0" encoding="utf-8"?>
<sst xmlns="http://schemas.openxmlformats.org/spreadsheetml/2006/main" count="148" uniqueCount="80">
  <si>
    <t>Debt</t>
  </si>
  <si>
    <t>Net cash</t>
  </si>
  <si>
    <t>Revenue</t>
  </si>
  <si>
    <t>Q4</t>
  </si>
  <si>
    <t>Q3</t>
  </si>
  <si>
    <t>Q2</t>
  </si>
  <si>
    <t>Q1</t>
  </si>
  <si>
    <t>Ex-TAC Gross Profit</t>
  </si>
  <si>
    <t>TAC</t>
  </si>
  <si>
    <t>Adj. EBITDA</t>
  </si>
  <si>
    <t>YoY %</t>
  </si>
  <si>
    <t>% of EX-TAC GP</t>
  </si>
  <si>
    <t>% of revenue (i.e. take-rate)</t>
  </si>
  <si>
    <t>Other cost of revenue</t>
  </si>
  <si>
    <t>Cash OPEX</t>
  </si>
  <si>
    <t>CC %</t>
  </si>
  <si>
    <t>New partners %</t>
  </si>
  <si>
    <t>LFL sales in cc %</t>
  </si>
  <si>
    <t>2 YR LFL sales in cc %</t>
  </si>
  <si>
    <t>Last px</t>
  </si>
  <si>
    <t>Market cap</t>
  </si>
  <si>
    <t>TEV</t>
  </si>
  <si>
    <t xml:space="preserve">(x) Fully Diluted S/O </t>
  </si>
  <si>
    <t>(-) Short-term investments</t>
  </si>
  <si>
    <t>(-) Long-term investments</t>
  </si>
  <si>
    <t>(-) Cash on B/S</t>
  </si>
  <si>
    <t>All figures as of Q1 2023</t>
  </si>
  <si>
    <t>(+) Debt</t>
  </si>
  <si>
    <t>2.95% Convertible Sr. Note due 2026</t>
  </si>
  <si>
    <t>Outbrain - Capital Structure</t>
  </si>
  <si>
    <t>Total cash + investments</t>
  </si>
  <si>
    <t>(-) Cash paid for debt repurchase</t>
  </si>
  <si>
    <t>Outbrain - Capital Structure Pro-forma</t>
  </si>
  <si>
    <t>(+) Working capital adjustment</t>
  </si>
  <si>
    <t>Purchased $118m of face value at 19% discount</t>
  </si>
  <si>
    <t>(-) Principal amt. of convertible notes</t>
  </si>
  <si>
    <t>51.1m common shares + 5.2m options/RSUs</t>
  </si>
  <si>
    <t>Net cash as a % of market cap</t>
  </si>
  <si>
    <t>Temporary impact from SVB account closures</t>
  </si>
  <si>
    <t>2023 EBITDA (My estimate)</t>
  </si>
  <si>
    <t>Europe</t>
  </si>
  <si>
    <t>Japan (other)</t>
  </si>
  <si>
    <t>USA</t>
  </si>
  <si>
    <t>Euro</t>
  </si>
  <si>
    <t>Yen</t>
  </si>
  <si>
    <t>USD</t>
  </si>
  <si>
    <t>Currency effect</t>
  </si>
  <si>
    <t>Reported delta</t>
  </si>
  <si>
    <t>Currency impact %</t>
  </si>
  <si>
    <t>FY</t>
  </si>
  <si>
    <t>Incremental GP %</t>
  </si>
  <si>
    <t>2024 EBITDA (My estimate)</t>
  </si>
  <si>
    <t>TEV/EBITDA on PF EV</t>
  </si>
  <si>
    <t>-</t>
  </si>
  <si>
    <t>Capitalized Software</t>
  </si>
  <si>
    <t>CAPEX</t>
  </si>
  <si>
    <t>Q2E</t>
  </si>
  <si>
    <t>Q3E</t>
  </si>
  <si>
    <t>Q4E</t>
  </si>
  <si>
    <t>PF Taxes @ 25%</t>
  </si>
  <si>
    <t>Unlevered FCF</t>
  </si>
  <si>
    <t>FCF Conversion %</t>
  </si>
  <si>
    <t>Stock-based comp (SBC)</t>
  </si>
  <si>
    <t>Valuation</t>
  </si>
  <si>
    <t>Price Target</t>
  </si>
  <si>
    <t>Market value</t>
  </si>
  <si>
    <t>Market value / share</t>
  </si>
  <si>
    <t>Upside/downside</t>
  </si>
  <si>
    <t>Implied EBITDA Multiple</t>
  </si>
  <si>
    <t>Implied FCF Yield %</t>
  </si>
  <si>
    <t>2023 EBITDA (Guidance = "at least $28")</t>
  </si>
  <si>
    <t>2024 UFCF (My estimate)</t>
  </si>
  <si>
    <t>UFCF Yield %</t>
  </si>
  <si>
    <t>FCF Multiple on '24 E</t>
  </si>
  <si>
    <t>(+) Net cash on B/S</t>
  </si>
  <si>
    <t>(+) One year of cash generation</t>
  </si>
  <si>
    <t>Consensus at $28m in EBITDA</t>
  </si>
  <si>
    <t>Consensus at $40m in EBITDA</t>
  </si>
  <si>
    <t>Updated: May 12, 2023</t>
  </si>
  <si>
    <t>Outbrain (OB)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</si>
</sst>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8" formatCode="[$€-2]\ #,##0"/>
    <numFmt numFmtId="169" formatCode="#,##0.0_)\x;\(#,##0.0\)"/>
    <numFmt numFmtId="170" formatCode="&quot;$&quot;#,##0"/>
    <numFmt numFmtId="171" formatCode="&quot;$&quot;#,##0.00"/>
    <numFmt numFmtId="173" formatCode="#,##0.0_);\(#,##0.0\)"/>
    <numFmt numFmtId="179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0"/>
      <color theme="7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EE8C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left" indent="2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2" fillId="0" borderId="0" xfId="1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168" fontId="4" fillId="0" borderId="0" xfId="0" applyNumberFormat="1" applyFont="1" applyAlignment="1">
      <alignment horizontal="center"/>
    </xf>
    <xf numFmtId="169" fontId="7" fillId="0" borderId="0" xfId="2" applyNumberFormat="1" applyFont="1" applyAlignment="1">
      <alignment horizontal="center"/>
    </xf>
    <xf numFmtId="170" fontId="0" fillId="0" borderId="0" xfId="0" applyNumberFormat="1"/>
    <xf numFmtId="171" fontId="5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4" fillId="0" borderId="3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37" fontId="8" fillId="0" borderId="0" xfId="0" applyNumberFormat="1" applyFont="1" applyBorder="1" applyAlignment="1">
      <alignment horizontal="left" indent="2"/>
    </xf>
    <xf numFmtId="0" fontId="4" fillId="0" borderId="0" xfId="0" applyFont="1" applyAlignment="1">
      <alignment horizontal="left" indent="2"/>
    </xf>
    <xf numFmtId="9" fontId="4" fillId="0" borderId="0" xfId="1" applyFont="1" applyAlignment="1">
      <alignment horizontal="center"/>
    </xf>
    <xf numFmtId="173" fontId="4" fillId="0" borderId="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9" fontId="5" fillId="0" borderId="0" xfId="1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 indent="3"/>
    </xf>
    <xf numFmtId="9" fontId="4" fillId="0" borderId="0" xfId="0" applyNumberFormat="1" applyFont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6" fillId="0" borderId="0" xfId="0" applyNumberFormat="1" applyFont="1" applyAlignment="1">
      <alignment horizontal="center"/>
    </xf>
    <xf numFmtId="9" fontId="4" fillId="0" borderId="0" xfId="1" applyNumberFormat="1" applyFont="1" applyAlignment="1">
      <alignment horizontal="center"/>
    </xf>
    <xf numFmtId="9" fontId="5" fillId="0" borderId="0" xfId="1" applyNumberFormat="1" applyFont="1" applyAlignment="1">
      <alignment horizontal="center"/>
    </xf>
    <xf numFmtId="3" fontId="0" fillId="0" borderId="0" xfId="0" applyNumberFormat="1"/>
    <xf numFmtId="0" fontId="9" fillId="4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3" fontId="4" fillId="4" borderId="0" xfId="0" applyNumberFormat="1" applyFont="1" applyFill="1" applyAlignment="1">
      <alignment horizontal="center"/>
    </xf>
    <xf numFmtId="9" fontId="6" fillId="4" borderId="0" xfId="0" applyNumberFormat="1" applyFont="1" applyFill="1" applyAlignment="1">
      <alignment horizontal="center"/>
    </xf>
    <xf numFmtId="9" fontId="4" fillId="4" borderId="0" xfId="1" applyFont="1" applyFill="1" applyAlignment="1">
      <alignment horizontal="center"/>
    </xf>
    <xf numFmtId="0" fontId="4" fillId="4" borderId="0" xfId="0" applyFont="1" applyFill="1"/>
    <xf numFmtId="9" fontId="5" fillId="4" borderId="0" xfId="1" applyFont="1" applyFill="1" applyAlignment="1">
      <alignment horizontal="center"/>
    </xf>
    <xf numFmtId="9" fontId="4" fillId="4" borderId="0" xfId="0" applyNumberFormat="1" applyFont="1" applyFill="1" applyAlignment="1">
      <alignment horizontal="center"/>
    </xf>
    <xf numFmtId="9" fontId="5" fillId="4" borderId="0" xfId="0" applyNumberFormat="1" applyFont="1" applyFill="1" applyAlignment="1">
      <alignment horizontal="center"/>
    </xf>
    <xf numFmtId="3" fontId="4" fillId="4" borderId="0" xfId="0" applyNumberFormat="1" applyFont="1" applyFill="1"/>
    <xf numFmtId="3" fontId="6" fillId="4" borderId="0" xfId="0" applyNumberFormat="1" applyFont="1" applyFill="1" applyAlignment="1">
      <alignment horizontal="center"/>
    </xf>
    <xf numFmtId="171" fontId="0" fillId="0" borderId="0" xfId="0" applyNumberFormat="1"/>
    <xf numFmtId="3" fontId="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9" fontId="5" fillId="0" borderId="0" xfId="2" applyNumberFormat="1" applyFont="1" applyAlignment="1">
      <alignment horizontal="center"/>
    </xf>
    <xf numFmtId="0" fontId="4" fillId="0" borderId="3" xfId="0" applyFont="1" applyBorder="1" applyAlignment="1">
      <alignment horizontal="left" indent="2"/>
    </xf>
    <xf numFmtId="0" fontId="6" fillId="0" borderId="5" xfId="0" applyFont="1" applyBorder="1" applyAlignment="1">
      <alignment horizontal="left" indent="1"/>
    </xf>
    <xf numFmtId="179" fontId="7" fillId="0" borderId="0" xfId="1" applyNumberFormat="1" applyFont="1" applyAlignment="1">
      <alignment horizontal="center"/>
    </xf>
    <xf numFmtId="170" fontId="10" fillId="0" borderId="0" xfId="0" applyNumberFormat="1" applyFont="1" applyAlignment="1">
      <alignment horizontal="center"/>
    </xf>
    <xf numFmtId="171" fontId="4" fillId="0" borderId="6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left" indent="2"/>
    </xf>
    <xf numFmtId="0" fontId="12" fillId="0" borderId="0" xfId="0" applyFont="1"/>
    <xf numFmtId="37" fontId="13" fillId="0" borderId="0" xfId="0" applyNumberFormat="1" applyFont="1" applyBorder="1" applyAlignment="1">
      <alignment horizontal="left" indent="2"/>
    </xf>
    <xf numFmtId="9" fontId="0" fillId="3" borderId="0" xfId="1" applyNumberFormat="1" applyFont="1" applyFill="1" applyAlignment="1">
      <alignment horizontal="center"/>
    </xf>
    <xf numFmtId="173" fontId="0" fillId="0" borderId="0" xfId="0" applyNumberFormat="1"/>
    <xf numFmtId="179" fontId="0" fillId="0" borderId="0" xfId="1" applyNumberFormat="1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0DCBC-E5F2-4819-8F26-0780C965890B}">
  <dimension ref="B2:Y30"/>
  <sheetViews>
    <sheetView showGridLines="0" tabSelected="1" workbookViewId="0"/>
  </sheetViews>
  <sheetFormatPr defaultRowHeight="15" outlineLevelCol="1" x14ac:dyDescent="0.25"/>
  <cols>
    <col min="1" max="1" width="9.140625" style="11"/>
    <col min="2" max="2" width="30.42578125" style="11" customWidth="1"/>
    <col min="3" max="14" width="8.28515625" style="11" customWidth="1" outlineLevel="1"/>
    <col min="15" max="18" width="9.140625" style="11" customWidth="1" outlineLevel="1"/>
    <col min="19" max="19" width="5.42578125" style="11" customWidth="1" outlineLevel="1"/>
    <col min="20" max="24" width="7.7109375" style="11" customWidth="1"/>
    <col min="25" max="16384" width="9.140625" style="11"/>
  </cols>
  <sheetData>
    <row r="2" spans="2:25" ht="18.75" x14ac:dyDescent="0.3">
      <c r="B2" s="64" t="s">
        <v>79</v>
      </c>
      <c r="C2" s="36">
        <v>2020</v>
      </c>
      <c r="D2" s="36">
        <v>2020</v>
      </c>
      <c r="E2" s="36">
        <v>2020</v>
      </c>
      <c r="F2" s="36">
        <v>2020</v>
      </c>
      <c r="G2" s="36">
        <v>2021</v>
      </c>
      <c r="H2" s="36">
        <v>2021</v>
      </c>
      <c r="I2" s="36">
        <v>2021</v>
      </c>
      <c r="J2" s="36">
        <v>2021</v>
      </c>
      <c r="K2" s="36">
        <v>2022</v>
      </c>
      <c r="L2" s="36">
        <v>2022</v>
      </c>
      <c r="M2" s="36">
        <v>2022</v>
      </c>
      <c r="N2" s="36">
        <v>2022</v>
      </c>
      <c r="O2" s="36">
        <v>2023</v>
      </c>
      <c r="P2" s="43">
        <v>2023</v>
      </c>
      <c r="Q2" s="43">
        <v>2023</v>
      </c>
      <c r="R2" s="43">
        <v>2023</v>
      </c>
      <c r="T2" s="36">
        <v>2020</v>
      </c>
      <c r="U2" s="36">
        <f>T2+1</f>
        <v>2021</v>
      </c>
      <c r="V2" s="36">
        <f>U2+1</f>
        <v>2022</v>
      </c>
      <c r="W2" s="36">
        <f>V2+1</f>
        <v>2023</v>
      </c>
      <c r="X2" s="36">
        <f>W2+1</f>
        <v>2024</v>
      </c>
      <c r="Y2" s="36">
        <f>X2+1</f>
        <v>2025</v>
      </c>
    </row>
    <row r="3" spans="2:25" x14ac:dyDescent="0.25">
      <c r="B3" s="34"/>
      <c r="C3" s="35" t="s">
        <v>6</v>
      </c>
      <c r="D3" s="35" t="s">
        <v>5</v>
      </c>
      <c r="E3" s="35" t="s">
        <v>4</v>
      </c>
      <c r="F3" s="35" t="s">
        <v>3</v>
      </c>
      <c r="G3" s="35" t="s">
        <v>6</v>
      </c>
      <c r="H3" s="35" t="s">
        <v>5</v>
      </c>
      <c r="I3" s="35" t="s">
        <v>4</v>
      </c>
      <c r="J3" s="35" t="s">
        <v>3</v>
      </c>
      <c r="K3" s="35" t="s">
        <v>6</v>
      </c>
      <c r="L3" s="35" t="s">
        <v>5</v>
      </c>
      <c r="M3" s="35" t="s">
        <v>4</v>
      </c>
      <c r="N3" s="35" t="s">
        <v>3</v>
      </c>
      <c r="O3" s="35" t="s">
        <v>6</v>
      </c>
      <c r="P3" s="44" t="s">
        <v>56</v>
      </c>
      <c r="Q3" s="44" t="s">
        <v>57</v>
      </c>
      <c r="R3" s="44" t="s">
        <v>58</v>
      </c>
      <c r="T3" s="35" t="s">
        <v>49</v>
      </c>
      <c r="U3" s="35" t="s">
        <v>49</v>
      </c>
      <c r="V3" s="35" t="s">
        <v>49</v>
      </c>
      <c r="W3" s="35" t="s">
        <v>49</v>
      </c>
      <c r="X3" s="35" t="s">
        <v>49</v>
      </c>
      <c r="Y3" s="35" t="s">
        <v>49</v>
      </c>
    </row>
    <row r="4" spans="2:25" x14ac:dyDescent="0.25">
      <c r="B4" s="12" t="s">
        <v>2</v>
      </c>
      <c r="C4" s="37">
        <v>177.3</v>
      </c>
      <c r="D4" s="37">
        <v>157.9</v>
      </c>
      <c r="E4" s="37">
        <v>186.5</v>
      </c>
      <c r="F4" s="37">
        <v>245.4</v>
      </c>
      <c r="G4" s="37">
        <v>228</v>
      </c>
      <c r="H4" s="37">
        <v>247.2</v>
      </c>
      <c r="I4" s="37">
        <v>250.8</v>
      </c>
      <c r="J4" s="37">
        <v>289.7</v>
      </c>
      <c r="K4" s="37">
        <v>254.2</v>
      </c>
      <c r="L4" s="37">
        <v>250.9</v>
      </c>
      <c r="M4" s="37">
        <v>229</v>
      </c>
      <c r="N4" s="37">
        <v>258</v>
      </c>
      <c r="O4" s="37">
        <v>231.8</v>
      </c>
      <c r="P4" s="45">
        <f>L4*(1+P5)</f>
        <v>254.32963518505244</v>
      </c>
      <c r="Q4" s="45">
        <f t="shared" ref="Q4:R4" si="0">M4*(1+Q5)</f>
        <v>258.49708635390573</v>
      </c>
      <c r="R4" s="45">
        <f t="shared" si="0"/>
        <v>312.65123629247722</v>
      </c>
      <c r="T4" s="37">
        <f>SUM(C4:F4)</f>
        <v>767.1</v>
      </c>
      <c r="U4" s="37">
        <f>SUM(G4:J4)</f>
        <v>1015.7</v>
      </c>
      <c r="V4" s="37">
        <f>SUM(K4:N4)</f>
        <v>992.1</v>
      </c>
      <c r="W4" s="37">
        <f>SUM(O4:R4)</f>
        <v>1057.2779578314355</v>
      </c>
      <c r="X4" s="37">
        <f>W4*(1+X5)</f>
        <v>1215.8696515061508</v>
      </c>
      <c r="Y4" s="37">
        <f>X4*(1+Y5)</f>
        <v>1398.2500992320734</v>
      </c>
    </row>
    <row r="5" spans="2:25" x14ac:dyDescent="0.25">
      <c r="B5" s="24" t="s">
        <v>10</v>
      </c>
      <c r="C5" s="28" t="s">
        <v>53</v>
      </c>
      <c r="D5" s="28" t="s">
        <v>53</v>
      </c>
      <c r="E5" s="28" t="s">
        <v>53</v>
      </c>
      <c r="F5" s="28" t="s">
        <v>53</v>
      </c>
      <c r="G5" s="25">
        <f t="shared" ref="G5:O5" si="1">G4/C4-1</f>
        <v>0.28595600676818944</v>
      </c>
      <c r="H5" s="25">
        <f t="shared" si="1"/>
        <v>0.56554781507283081</v>
      </c>
      <c r="I5" s="25">
        <f t="shared" si="1"/>
        <v>0.34477211796246654</v>
      </c>
      <c r="J5" s="25">
        <f t="shared" si="1"/>
        <v>0.1805215973920129</v>
      </c>
      <c r="K5" s="25">
        <f t="shared" si="1"/>
        <v>0.11491228070175441</v>
      </c>
      <c r="L5" s="25">
        <f t="shared" si="1"/>
        <v>1.4967637540453049E-2</v>
      </c>
      <c r="M5" s="25">
        <f t="shared" si="1"/>
        <v>-8.6921850079744845E-2</v>
      </c>
      <c r="N5" s="25">
        <f t="shared" si="1"/>
        <v>-0.1094235415947532</v>
      </c>
      <c r="O5" s="25">
        <f t="shared" si="1"/>
        <v>-8.8119590873327991E-2</v>
      </c>
      <c r="P5" s="46">
        <f>P6+Fx!P23</f>
        <v>1.3669331148076759E-2</v>
      </c>
      <c r="Q5" s="46">
        <f>Q6+Fx!Q23</f>
        <v>0.12880823735330021</v>
      </c>
      <c r="R5" s="46">
        <f>R6+Fx!R23</f>
        <v>0.21182649725766359</v>
      </c>
      <c r="T5" s="25" t="s">
        <v>53</v>
      </c>
      <c r="U5" s="25">
        <f>U4/T4-1</f>
        <v>0.32407769521574759</v>
      </c>
      <c r="V5" s="25">
        <f t="shared" ref="V5:X5" si="2">V4/U4-1</f>
        <v>-2.323520724623418E-2</v>
      </c>
      <c r="W5" s="25">
        <f t="shared" si="2"/>
        <v>6.5696963845817358E-2</v>
      </c>
      <c r="X5" s="25">
        <f>X8+X9</f>
        <v>0.15000000000000002</v>
      </c>
      <c r="Y5" s="25">
        <f>Y8+Y9</f>
        <v>0.15000000000000002</v>
      </c>
    </row>
    <row r="6" spans="2:25" x14ac:dyDescent="0.25">
      <c r="B6" s="24" t="s">
        <v>15</v>
      </c>
      <c r="C6" s="28" t="s">
        <v>53</v>
      </c>
      <c r="D6" s="28" t="s">
        <v>53</v>
      </c>
      <c r="E6" s="28" t="s">
        <v>53</v>
      </c>
      <c r="F6" s="28" t="s">
        <v>53</v>
      </c>
      <c r="G6" s="28" t="s">
        <v>53</v>
      </c>
      <c r="H6" s="25">
        <f>H5</f>
        <v>0.56554781507283081</v>
      </c>
      <c r="I6" s="25">
        <f>I5</f>
        <v>0.34477211796246654</v>
      </c>
      <c r="J6" s="25">
        <f>J5</f>
        <v>0.1805215973920129</v>
      </c>
      <c r="K6" s="25">
        <v>0.14000000000000001</v>
      </c>
      <c r="L6" s="25">
        <v>0.06</v>
      </c>
      <c r="M6" s="25">
        <v>-0.03</v>
      </c>
      <c r="N6" s="25">
        <v>-6.9000000000000006E-2</v>
      </c>
      <c r="O6" s="25">
        <v>-7.0000000000000007E-2</v>
      </c>
      <c r="P6" s="47">
        <f>P8+P9</f>
        <v>0</v>
      </c>
      <c r="Q6" s="47">
        <f>Q8+Q9</f>
        <v>0.1</v>
      </c>
      <c r="R6" s="47">
        <f>R8+R9</f>
        <v>0.18900000000000003</v>
      </c>
    </row>
    <row r="7" spans="2:25" x14ac:dyDescent="0.25">
      <c r="G7" s="25"/>
      <c r="H7" s="25"/>
      <c r="I7" s="25"/>
      <c r="J7" s="25"/>
      <c r="K7" s="25"/>
      <c r="L7" s="25"/>
      <c r="M7" s="25"/>
      <c r="N7" s="25"/>
      <c r="P7" s="48"/>
      <c r="Q7" s="48"/>
      <c r="R7" s="48"/>
    </row>
    <row r="8" spans="2:25" x14ac:dyDescent="0.25">
      <c r="B8" s="12" t="s">
        <v>16</v>
      </c>
      <c r="C8" s="25" t="s">
        <v>53</v>
      </c>
      <c r="D8" s="25" t="s">
        <v>53</v>
      </c>
      <c r="E8" s="25" t="s">
        <v>53</v>
      </c>
      <c r="F8" s="25" t="s">
        <v>53</v>
      </c>
      <c r="G8" s="25" t="s">
        <v>53</v>
      </c>
      <c r="H8" s="25">
        <v>7.0000000000000007E-2</v>
      </c>
      <c r="I8" s="25">
        <v>7.0000000000000007E-2</v>
      </c>
      <c r="J8" s="25">
        <v>7.0000000000000007E-2</v>
      </c>
      <c r="K8" s="25">
        <v>0.1</v>
      </c>
      <c r="L8" s="25">
        <v>0.1</v>
      </c>
      <c r="M8" s="25">
        <v>0.11</v>
      </c>
      <c r="N8" s="25">
        <v>0.16</v>
      </c>
      <c r="O8" s="25">
        <v>0.11</v>
      </c>
      <c r="P8" s="49">
        <v>0.1</v>
      </c>
      <c r="Q8" s="49">
        <v>0.1</v>
      </c>
      <c r="R8" s="49">
        <v>0.1</v>
      </c>
      <c r="T8" s="25" t="s">
        <v>53</v>
      </c>
      <c r="U8" s="40">
        <v>7.0000000000000007E-2</v>
      </c>
      <c r="V8" s="40">
        <f>(SUMPRODUCT(G4:J4,K8:N8)/SUM(G4:J4))</f>
        <v>0.11958255390371172</v>
      </c>
      <c r="W8" s="40">
        <f>(SUMPRODUCT(K4:N4,O8:R8)/SUM(K4:N4))</f>
        <v>0.10256224170950509</v>
      </c>
      <c r="X8" s="41">
        <v>0.1</v>
      </c>
      <c r="Y8" s="41">
        <v>0.1</v>
      </c>
    </row>
    <row r="9" spans="2:25" x14ac:dyDescent="0.25">
      <c r="B9" s="12" t="s">
        <v>17</v>
      </c>
      <c r="C9" s="29" t="s">
        <v>53</v>
      </c>
      <c r="D9" s="29" t="s">
        <v>53</v>
      </c>
      <c r="E9" s="29" t="s">
        <v>53</v>
      </c>
      <c r="F9" s="29" t="s">
        <v>53</v>
      </c>
      <c r="G9" s="29" t="s">
        <v>53</v>
      </c>
      <c r="H9" s="29">
        <f>H6-H8</f>
        <v>0.4955478150728308</v>
      </c>
      <c r="I9" s="29">
        <f>I6-I8</f>
        <v>0.27477211796246653</v>
      </c>
      <c r="J9" s="29">
        <f>J6-J8</f>
        <v>0.11052159739201289</v>
      </c>
      <c r="K9" s="29">
        <f>K6-K8</f>
        <v>4.0000000000000008E-2</v>
      </c>
      <c r="L9" s="29">
        <f>L6-L8</f>
        <v>-4.0000000000000008E-2</v>
      </c>
      <c r="M9" s="29">
        <f>M6-M8</f>
        <v>-0.14000000000000001</v>
      </c>
      <c r="N9" s="29">
        <f>N6-N8</f>
        <v>-0.22900000000000001</v>
      </c>
      <c r="O9" s="29">
        <f>O6-O8</f>
        <v>-0.18</v>
      </c>
      <c r="P9" s="50">
        <f>P10-L9</f>
        <v>-9.9999999999999978E-2</v>
      </c>
      <c r="Q9" s="50">
        <f>Q10-M9</f>
        <v>0</v>
      </c>
      <c r="R9" s="50">
        <f>R10-N9</f>
        <v>8.9000000000000024E-2</v>
      </c>
      <c r="T9" s="25" t="s">
        <v>53</v>
      </c>
      <c r="U9" s="29">
        <f>U5-U8</f>
        <v>0.25407769521574758</v>
      </c>
      <c r="V9" s="29">
        <f>V5-V8</f>
        <v>-0.1428177611499459</v>
      </c>
      <c r="W9" s="29">
        <f>W5-W8</f>
        <v>-3.6865277863687734E-2</v>
      </c>
      <c r="X9" s="31">
        <v>0.05</v>
      </c>
      <c r="Y9" s="31">
        <v>0.05</v>
      </c>
    </row>
    <row r="10" spans="2:25" x14ac:dyDescent="0.25">
      <c r="B10" s="24" t="s">
        <v>18</v>
      </c>
      <c r="L10" s="29">
        <f>L9+H9</f>
        <v>0.45554781507283082</v>
      </c>
      <c r="M10" s="29">
        <f>M9+I9</f>
        <v>0.13477211796246652</v>
      </c>
      <c r="N10" s="29">
        <f>N9+J9</f>
        <v>-0.11847840260798712</v>
      </c>
      <c r="O10" s="29">
        <f>O9+K9</f>
        <v>-0.13999999999999999</v>
      </c>
      <c r="P10" s="51">
        <f>O10</f>
        <v>-0.13999999999999999</v>
      </c>
      <c r="Q10" s="51">
        <f>P10</f>
        <v>-0.13999999999999999</v>
      </c>
      <c r="R10" s="51">
        <f>Q10</f>
        <v>-0.13999999999999999</v>
      </c>
    </row>
    <row r="11" spans="2:25" x14ac:dyDescent="0.25">
      <c r="P11" s="48"/>
      <c r="Q11" s="48"/>
      <c r="R11" s="48"/>
    </row>
    <row r="12" spans="2:25" x14ac:dyDescent="0.25">
      <c r="B12" s="12" t="s">
        <v>8</v>
      </c>
      <c r="C12" s="37">
        <f>-(C4-C14)</f>
        <v>-136.774</v>
      </c>
      <c r="D12" s="37">
        <f>-(D4-D14)</f>
        <v>-118.2</v>
      </c>
      <c r="E12" s="37">
        <f>-(E4-E14)</f>
        <v>-137.9</v>
      </c>
      <c r="F12" s="37">
        <f>-(F4-F14)</f>
        <v>-180</v>
      </c>
      <c r="G12" s="37">
        <f>-(G4-G14)</f>
        <v>-167.6</v>
      </c>
      <c r="H12" s="37">
        <f>-(H4-H14)</f>
        <v>-180.39999999999998</v>
      </c>
      <c r="I12" s="37">
        <f>-(I4-I14)</f>
        <v>-182.70000000000002</v>
      </c>
      <c r="J12" s="37">
        <f>-(J4-J14)</f>
        <v>-213</v>
      </c>
      <c r="K12" s="37">
        <f>-(K4-K14)</f>
        <v>-190.7</v>
      </c>
      <c r="L12" s="37">
        <f>-(L4-L14)</f>
        <v>-191.60000000000002</v>
      </c>
      <c r="M12" s="37">
        <f>-(M4-M14)</f>
        <v>-176.3</v>
      </c>
      <c r="N12" s="37">
        <f>-(N4-N14)</f>
        <v>-198.8</v>
      </c>
      <c r="O12" s="37">
        <f>-(O4-O14)</f>
        <v>-179.60000000000002</v>
      </c>
      <c r="P12" s="45">
        <f>-(P4-P14)</f>
        <v>-194.00074462953671</v>
      </c>
      <c r="Q12" s="45">
        <f>-(Q4-Q14)</f>
        <v>-196.947960447734</v>
      </c>
      <c r="R12" s="45">
        <f>-(R4-R14)</f>
        <v>-237.05586540473405</v>
      </c>
      <c r="T12" s="37">
        <f>SUM(C12:F12)</f>
        <v>-572.87400000000002</v>
      </c>
      <c r="U12" s="37">
        <f>SUM(G12:J12)</f>
        <v>-743.7</v>
      </c>
      <c r="V12" s="37">
        <f>SUM(K12:N12)</f>
        <v>-757.40000000000009</v>
      </c>
      <c r="W12" s="37">
        <f>SUM(O12:R12)</f>
        <v>-807.60457048200476</v>
      </c>
      <c r="X12" s="37">
        <f>-(X4-X14)</f>
        <v>-918.61875605430555</v>
      </c>
      <c r="Y12" s="37">
        <f>-(Y4-Y14)</f>
        <v>-1046.2850694624512</v>
      </c>
    </row>
    <row r="13" spans="2:25" x14ac:dyDescent="0.25">
      <c r="B13" s="12"/>
      <c r="C13" s="28"/>
      <c r="D13" s="28"/>
      <c r="E13" s="28"/>
      <c r="F13" s="28"/>
      <c r="G13" s="28"/>
      <c r="H13" s="28"/>
      <c r="I13" s="28"/>
      <c r="J13" s="25"/>
      <c r="K13" s="25"/>
      <c r="L13" s="25"/>
      <c r="M13" s="25"/>
      <c r="N13" s="25"/>
      <c r="P13" s="48"/>
      <c r="Q13" s="48"/>
      <c r="R13" s="48"/>
    </row>
    <row r="14" spans="2:25" x14ac:dyDescent="0.25">
      <c r="B14" s="12" t="s">
        <v>7</v>
      </c>
      <c r="C14" s="37">
        <v>40.526000000000003</v>
      </c>
      <c r="D14" s="37">
        <v>39.700000000000003</v>
      </c>
      <c r="E14" s="37">
        <v>48.6</v>
      </c>
      <c r="F14" s="37">
        <v>65.400000000000006</v>
      </c>
      <c r="G14" s="37">
        <v>60.4</v>
      </c>
      <c r="H14" s="37">
        <v>66.8</v>
      </c>
      <c r="I14" s="37">
        <v>68.099999999999994</v>
      </c>
      <c r="J14" s="37">
        <v>76.7</v>
      </c>
      <c r="K14" s="37">
        <v>63.5</v>
      </c>
      <c r="L14" s="37">
        <v>59.3</v>
      </c>
      <c r="M14" s="37">
        <v>52.7</v>
      </c>
      <c r="N14" s="37">
        <v>59.2</v>
      </c>
      <c r="O14" s="37">
        <v>52.2</v>
      </c>
      <c r="P14" s="45">
        <f>L14+(P4-L4)*P16</f>
        <v>60.328890555515727</v>
      </c>
      <c r="Q14" s="45">
        <f>M14+(Q4-M4)*Q16</f>
        <v>61.549125906171724</v>
      </c>
      <c r="R14" s="45">
        <f>N14+(R4-N4)*R16</f>
        <v>75.595370887743172</v>
      </c>
      <c r="T14" s="37">
        <f>SUM(C14:F14)</f>
        <v>194.226</v>
      </c>
      <c r="U14" s="37">
        <f>SUM(G14:J14)</f>
        <v>272</v>
      </c>
      <c r="V14" s="37">
        <f>SUM(K14:N14)</f>
        <v>234.7</v>
      </c>
      <c r="W14" s="37">
        <f>SUM(O14:R14)</f>
        <v>249.67338734943064</v>
      </c>
      <c r="X14" s="37">
        <f>W14+(X4-W4)*X16</f>
        <v>297.25089545184522</v>
      </c>
      <c r="Y14" s="37">
        <f>X14+(Y4-X4)*Y16</f>
        <v>351.96502976962199</v>
      </c>
    </row>
    <row r="15" spans="2:25" x14ac:dyDescent="0.25">
      <c r="B15" s="32" t="s">
        <v>12</v>
      </c>
      <c r="C15" s="25">
        <f>C14/C4</f>
        <v>0.22857304004512127</v>
      </c>
      <c r="D15" s="25">
        <f>D14/D4</f>
        <v>0.25142495250158331</v>
      </c>
      <c r="E15" s="25">
        <f>E14/E4</f>
        <v>0.26058981233243966</v>
      </c>
      <c r="F15" s="25">
        <f>F14/F4</f>
        <v>0.2665036674816626</v>
      </c>
      <c r="G15" s="25">
        <f>G14/G4</f>
        <v>0.26491228070175438</v>
      </c>
      <c r="H15" s="25">
        <f>H14/H4</f>
        <v>0.27022653721682849</v>
      </c>
      <c r="I15" s="25">
        <f>I14/I4</f>
        <v>0.27153110047846885</v>
      </c>
      <c r="J15" s="25">
        <f>J14/J4</f>
        <v>0.26475664480497069</v>
      </c>
      <c r="K15" s="25">
        <f>K14/K4</f>
        <v>0.24980330448465776</v>
      </c>
      <c r="L15" s="25">
        <f>L14/L4</f>
        <v>0.23634914308489435</v>
      </c>
      <c r="M15" s="25">
        <f>M14/M4</f>
        <v>0.23013100436681225</v>
      </c>
      <c r="N15" s="25">
        <f>N14/N4</f>
        <v>0.2294573643410853</v>
      </c>
      <c r="O15" s="25">
        <f>O14/O4</f>
        <v>0.22519413287316653</v>
      </c>
      <c r="P15" s="47">
        <f>P14/P4</f>
        <v>0.23720747490405475</v>
      </c>
      <c r="Q15" s="47">
        <f>Q14/Q4</f>
        <v>0.23810375108795401</v>
      </c>
      <c r="R15" s="47">
        <f>R14/R4</f>
        <v>0.24178817197135802</v>
      </c>
      <c r="T15" s="25">
        <f>T14/T4</f>
        <v>0.25319515056707076</v>
      </c>
      <c r="U15" s="25">
        <f t="shared" ref="U15:Y15" si="3">U14/U4</f>
        <v>0.26779560893964754</v>
      </c>
      <c r="V15" s="25">
        <f t="shared" si="3"/>
        <v>0.23656889426469105</v>
      </c>
      <c r="W15" s="25">
        <f t="shared" si="3"/>
        <v>0.23614734942694862</v>
      </c>
      <c r="X15" s="25">
        <f t="shared" si="3"/>
        <v>0.24447595602343355</v>
      </c>
      <c r="Y15" s="25">
        <f t="shared" si="3"/>
        <v>0.25171822262907267</v>
      </c>
    </row>
    <row r="16" spans="2:25" x14ac:dyDescent="0.25">
      <c r="B16" s="32" t="s">
        <v>50</v>
      </c>
      <c r="G16" s="25"/>
      <c r="H16" s="25"/>
      <c r="I16" s="25"/>
      <c r="J16" s="25"/>
      <c r="K16" s="25"/>
      <c r="L16" s="25"/>
      <c r="P16" s="49">
        <v>0.3</v>
      </c>
      <c r="Q16" s="49">
        <v>0.3</v>
      </c>
      <c r="R16" s="49">
        <v>0.3</v>
      </c>
      <c r="T16" s="25" t="s">
        <v>53</v>
      </c>
      <c r="U16" s="25">
        <f>(U14-T14)/(U4-T4)</f>
        <v>0.31284794851166531</v>
      </c>
      <c r="V16" s="25" t="s">
        <v>53</v>
      </c>
      <c r="W16" s="25">
        <f>(W14-V14)/(W4-V4)</f>
        <v>0.22973084532895491</v>
      </c>
      <c r="X16" s="30">
        <v>0.3</v>
      </c>
      <c r="Y16" s="30">
        <v>0.3</v>
      </c>
    </row>
    <row r="17" spans="2:25" x14ac:dyDescent="0.25">
      <c r="P17" s="48"/>
      <c r="Q17" s="48"/>
      <c r="R17" s="48"/>
    </row>
    <row r="18" spans="2:25" x14ac:dyDescent="0.25">
      <c r="B18" s="12" t="s">
        <v>13</v>
      </c>
      <c r="C18" s="37">
        <v>-7.8730000000000002</v>
      </c>
      <c r="D18" s="37">
        <v>-7.6479999999999997</v>
      </c>
      <c r="E18" s="37">
        <v>-6.7709999999999999</v>
      </c>
      <c r="F18" s="37">
        <v>-6.9859999999999998</v>
      </c>
      <c r="G18" s="37">
        <v>-6.9420000000000002</v>
      </c>
      <c r="H18" s="37">
        <v>-7.7670000000000003</v>
      </c>
      <c r="I18" s="37">
        <v>-7.8460000000000001</v>
      </c>
      <c r="J18" s="37">
        <v>-9.2360000000000007</v>
      </c>
      <c r="K18" s="37">
        <v>-9.5890000000000004</v>
      </c>
      <c r="L18" s="37">
        <v>-10.61</v>
      </c>
      <c r="M18" s="37">
        <v>-10.756</v>
      </c>
      <c r="N18" s="37">
        <v>-11.153</v>
      </c>
      <c r="O18" s="37">
        <v>-11.042999999999999</v>
      </c>
      <c r="P18" s="45">
        <v>-11</v>
      </c>
      <c r="Q18" s="45">
        <v>-11</v>
      </c>
      <c r="R18" s="45">
        <v>-11</v>
      </c>
      <c r="T18" s="37">
        <f>SUM(C18:F18)</f>
        <v>-29.278000000000002</v>
      </c>
      <c r="U18" s="37">
        <f>SUM(G18:J18)</f>
        <v>-31.791</v>
      </c>
      <c r="V18" s="37">
        <f>SUM(K18:N18)</f>
        <v>-42.107999999999997</v>
      </c>
      <c r="W18" s="37">
        <f>SUM(O18:R18)</f>
        <v>-44.042999999999999</v>
      </c>
      <c r="X18" s="37">
        <f>W18*1.1</f>
        <v>-48.447300000000006</v>
      </c>
      <c r="Y18" s="37">
        <f>X18*1.1</f>
        <v>-53.292030000000011</v>
      </c>
    </row>
    <row r="19" spans="2:25" x14ac:dyDescent="0.25">
      <c r="B19" s="12" t="s">
        <v>14</v>
      </c>
      <c r="C19" s="37">
        <f>C21-C18-C14</f>
        <v>-30.484000000000002</v>
      </c>
      <c r="D19" s="37">
        <f>D21-D18-D14</f>
        <v>-26.852000000000004</v>
      </c>
      <c r="E19" s="37">
        <f>E21-E18-E14</f>
        <v>-29.029</v>
      </c>
      <c r="F19" s="37">
        <f>F21-F18-F14</f>
        <v>-37.314000000000007</v>
      </c>
      <c r="G19" s="37">
        <f>G21-G18-G14</f>
        <v>-32.857999999999997</v>
      </c>
      <c r="H19" s="37">
        <f>H21-H18-H14</f>
        <v>-34.432999999999993</v>
      </c>
      <c r="I19" s="37">
        <f>I21-I18-I14</f>
        <v>-40.353999999999999</v>
      </c>
      <c r="J19" s="37">
        <f>J21-J18-J14</f>
        <v>-43.564000000000007</v>
      </c>
      <c r="K19" s="37">
        <f>K21-K18-K14</f>
        <v>-42.311</v>
      </c>
      <c r="L19" s="37">
        <f>L21-L18-L14</f>
        <v>-42.79</v>
      </c>
      <c r="M19" s="37">
        <f>M21-M18-M14</f>
        <v>-40.244</v>
      </c>
      <c r="N19" s="37">
        <f>N21-N18-N14</f>
        <v>-40.947000000000003</v>
      </c>
      <c r="O19" s="37">
        <f>O21-O18-O14</f>
        <v>-40.457000000000008</v>
      </c>
      <c r="P19" s="45">
        <v>-40</v>
      </c>
      <c r="Q19" s="45">
        <v>-40</v>
      </c>
      <c r="R19" s="45">
        <v>-40</v>
      </c>
      <c r="T19" s="37">
        <f>SUM(C19:F19)</f>
        <v>-123.67900000000002</v>
      </c>
      <c r="U19" s="37">
        <f>SUM(G19:J19)</f>
        <v>-151.209</v>
      </c>
      <c r="V19" s="37">
        <f>SUM(K19:N19)</f>
        <v>-166.292</v>
      </c>
      <c r="W19" s="37">
        <f>SUM(O19:R19)</f>
        <v>-160.45699999999999</v>
      </c>
      <c r="X19" s="37">
        <f>W19*1.1</f>
        <v>-176.5027</v>
      </c>
      <c r="Y19" s="37">
        <f>X19*1.1</f>
        <v>-194.15297000000001</v>
      </c>
    </row>
    <row r="20" spans="2:25" x14ac:dyDescent="0.25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52"/>
      <c r="Q20" s="52"/>
      <c r="R20" s="52"/>
    </row>
    <row r="21" spans="2:25" x14ac:dyDescent="0.25">
      <c r="B21" s="14" t="s">
        <v>9</v>
      </c>
      <c r="C21" s="39">
        <v>2.169</v>
      </c>
      <c r="D21" s="39">
        <v>5.2</v>
      </c>
      <c r="E21" s="39">
        <v>12.8</v>
      </c>
      <c r="F21" s="39">
        <v>21.1</v>
      </c>
      <c r="G21" s="39">
        <v>20.6</v>
      </c>
      <c r="H21" s="39">
        <v>24.6</v>
      </c>
      <c r="I21" s="39">
        <v>19.899999999999999</v>
      </c>
      <c r="J21" s="39">
        <v>23.9</v>
      </c>
      <c r="K21" s="39">
        <v>11.6</v>
      </c>
      <c r="L21" s="39">
        <v>5.9</v>
      </c>
      <c r="M21" s="39">
        <v>1.7</v>
      </c>
      <c r="N21" s="39">
        <v>7.1</v>
      </c>
      <c r="O21" s="39">
        <v>0.7</v>
      </c>
      <c r="P21" s="53">
        <f>P14+P18+P19</f>
        <v>9.3288905555157271</v>
      </c>
      <c r="Q21" s="53">
        <f>Q14+Q18+Q19</f>
        <v>10.549125906171724</v>
      </c>
      <c r="R21" s="53">
        <f>R14+R18+R19</f>
        <v>24.595370887743172</v>
      </c>
      <c r="T21" s="39">
        <f>T14+T18+T19</f>
        <v>41.268999999999991</v>
      </c>
      <c r="U21" s="39">
        <f>U14+U18+U19</f>
        <v>89</v>
      </c>
      <c r="V21" s="39">
        <f>V14+V18+V19</f>
        <v>26.299999999999983</v>
      </c>
      <c r="W21" s="39">
        <f>W14+W18+W19</f>
        <v>45.173387349430641</v>
      </c>
      <c r="X21" s="39">
        <f>X14+X18+X19</f>
        <v>72.300895451845207</v>
      </c>
      <c r="Y21" s="39">
        <f>Y14+Y18+Y19</f>
        <v>104.52002976962197</v>
      </c>
    </row>
    <row r="22" spans="2:25" x14ac:dyDescent="0.25">
      <c r="B22" s="32" t="s">
        <v>11</v>
      </c>
      <c r="C22" s="25">
        <f>C21/C14</f>
        <v>5.3521196269061835E-2</v>
      </c>
      <c r="D22" s="25">
        <f>D21/D14</f>
        <v>0.13098236775818639</v>
      </c>
      <c r="E22" s="25">
        <f>E21/E14</f>
        <v>0.26337448559670784</v>
      </c>
      <c r="F22" s="25">
        <f>F21/F14</f>
        <v>0.32262996941896022</v>
      </c>
      <c r="G22" s="25">
        <f>G21/G14</f>
        <v>0.34105960264900664</v>
      </c>
      <c r="H22" s="25">
        <f>H21/H14</f>
        <v>0.36826347305389223</v>
      </c>
      <c r="I22" s="25">
        <f>I21/I14</f>
        <v>0.2922173274596182</v>
      </c>
      <c r="J22" s="25">
        <f>J21/J14</f>
        <v>0.31160365058670142</v>
      </c>
      <c r="K22" s="25">
        <f>K21/K14</f>
        <v>0.18267716535433071</v>
      </c>
      <c r="L22" s="25">
        <f>L21/L14</f>
        <v>9.9494097807757184E-2</v>
      </c>
      <c r="M22" s="25">
        <f>M21/M14</f>
        <v>3.2258064516129031E-2</v>
      </c>
      <c r="N22" s="25">
        <f>N21/N14</f>
        <v>0.11993243243243241</v>
      </c>
      <c r="O22" s="25">
        <f>O21/O14</f>
        <v>1.3409961685823753E-2</v>
      </c>
      <c r="P22" s="47">
        <f>P21/P14</f>
        <v>0.15463388220161475</v>
      </c>
      <c r="Q22" s="47">
        <f>Q21/Q14</f>
        <v>0.17139359415523284</v>
      </c>
      <c r="R22" s="47">
        <f>R21/R14</f>
        <v>0.32535551580620659</v>
      </c>
      <c r="T22" s="25">
        <f>T21/T14</f>
        <v>0.21247927671887384</v>
      </c>
      <c r="U22" s="25">
        <f t="shared" ref="U22:Y22" si="4">U21/U14</f>
        <v>0.32720588235294118</v>
      </c>
      <c r="V22" s="25">
        <f t="shared" si="4"/>
        <v>0.11205794631444391</v>
      </c>
      <c r="W22" s="25">
        <f t="shared" si="4"/>
        <v>0.18092992540774153</v>
      </c>
      <c r="X22" s="25">
        <f t="shared" si="4"/>
        <v>0.24323188443870639</v>
      </c>
      <c r="Y22" s="25">
        <f t="shared" si="4"/>
        <v>0.29696140505218754</v>
      </c>
    </row>
    <row r="23" spans="2:25" x14ac:dyDescent="0.25">
      <c r="B23" s="12"/>
      <c r="K23" s="25"/>
      <c r="L23" s="25"/>
      <c r="M23" s="25"/>
      <c r="N23" s="25"/>
      <c r="O23" s="25"/>
    </row>
    <row r="24" spans="2:25" x14ac:dyDescent="0.25">
      <c r="B24" s="12" t="s">
        <v>55</v>
      </c>
      <c r="I24" s="33"/>
      <c r="K24" s="29"/>
      <c r="L24" s="29"/>
      <c r="M24" s="29"/>
      <c r="N24" s="29"/>
      <c r="O24" s="29"/>
      <c r="T24" s="37">
        <v>-1.5109999999999999</v>
      </c>
      <c r="U24" s="37">
        <v>-9.7430000000000003</v>
      </c>
      <c r="V24" s="37">
        <v>-13.375</v>
      </c>
      <c r="W24" s="55">
        <f>V24</f>
        <v>-13.375</v>
      </c>
      <c r="X24" s="55">
        <f>W24</f>
        <v>-13.375</v>
      </c>
      <c r="Y24" s="55">
        <f>X24</f>
        <v>-13.375</v>
      </c>
    </row>
    <row r="25" spans="2:25" x14ac:dyDescent="0.25">
      <c r="B25" s="12" t="s">
        <v>54</v>
      </c>
      <c r="T25" s="37">
        <v>-1.5109999999999999</v>
      </c>
      <c r="U25" s="37">
        <v>-10.311</v>
      </c>
      <c r="V25" s="37">
        <v>-12.569000000000001</v>
      </c>
      <c r="W25" s="55">
        <f>V25</f>
        <v>-12.569000000000001</v>
      </c>
      <c r="X25" s="55">
        <f>W25</f>
        <v>-12.569000000000001</v>
      </c>
      <c r="Y25" s="55">
        <f>X25</f>
        <v>-12.569000000000001</v>
      </c>
    </row>
    <row r="26" spans="2:25" x14ac:dyDescent="0.25">
      <c r="B26" s="12" t="s">
        <v>59</v>
      </c>
      <c r="T26" s="37">
        <f>(T21+T24+T25)*0.25*-1</f>
        <v>-9.5617499999999964</v>
      </c>
      <c r="U26" s="37">
        <f t="shared" ref="U26:V26" si="5">(U21+U24+U25)*0.25*-1</f>
        <v>-17.236499999999999</v>
      </c>
      <c r="V26" s="37">
        <f t="shared" si="5"/>
        <v>-8.8999999999995527E-2</v>
      </c>
      <c r="W26" s="37">
        <f t="shared" ref="W26" si="6">(W21+W24+W25)*0.25*-1</f>
        <v>-4.8073468373576596</v>
      </c>
      <c r="X26" s="37">
        <f t="shared" ref="X26:Y26" si="7">(X21+X24+X25)*0.25*-1</f>
        <v>-11.589223862961301</v>
      </c>
      <c r="Y26" s="37">
        <f t="shared" si="7"/>
        <v>-19.644007442405492</v>
      </c>
    </row>
    <row r="27" spans="2:25" x14ac:dyDescent="0.25">
      <c r="B27" s="12" t="s">
        <v>62</v>
      </c>
      <c r="T27" s="37">
        <v>-3.6</v>
      </c>
      <c r="U27" s="37">
        <v>-26.306999999999999</v>
      </c>
      <c r="V27" s="37">
        <v>-11.66</v>
      </c>
      <c r="W27" s="55">
        <v>-10</v>
      </c>
      <c r="X27" s="55">
        <v>-10</v>
      </c>
      <c r="Y27" s="55">
        <v>-10</v>
      </c>
    </row>
    <row r="29" spans="2:25" x14ac:dyDescent="0.25">
      <c r="B29" s="12" t="s">
        <v>60</v>
      </c>
      <c r="T29" s="37">
        <f>T21+T24+T25+T26+T27</f>
        <v>25.085249999999988</v>
      </c>
      <c r="U29" s="37">
        <f>U21+U24+U25+U26+U27</f>
        <v>25.4025</v>
      </c>
      <c r="V29" s="37">
        <f>V21+V24+V25+V26+V27</f>
        <v>-11.393000000000013</v>
      </c>
      <c r="W29" s="37">
        <f>W21+W24+W25+W26+W27</f>
        <v>4.4220405120729787</v>
      </c>
      <c r="X29" s="37">
        <f>X21+X24+X25+X26+X27</f>
        <v>24.7676715888839</v>
      </c>
      <c r="Y29" s="37">
        <f>Y21+Y24+Y25+Y26+Y27</f>
        <v>48.932022327216472</v>
      </c>
    </row>
    <row r="30" spans="2:25" x14ac:dyDescent="0.25">
      <c r="B30" s="12" t="s">
        <v>61</v>
      </c>
      <c r="T30" s="25">
        <f>T29/T21</f>
        <v>0.60784729457946629</v>
      </c>
      <c r="U30" s="25">
        <f>U29/U21</f>
        <v>0.28542134831460675</v>
      </c>
      <c r="V30" s="25">
        <f>V29/V21</f>
        <v>-0.43319391634981069</v>
      </c>
      <c r="W30" s="25">
        <f>W29/W21</f>
        <v>9.7890390150888545E-2</v>
      </c>
      <c r="X30" s="25">
        <f>X29/X21</f>
        <v>0.34256382903832761</v>
      </c>
      <c r="Y30" s="25">
        <f>Y29/Y21</f>
        <v>0.46815928425460734</v>
      </c>
    </row>
  </sheetData>
  <pageMargins left="0.7" right="0.7" top="0.75" bottom="0.75" header="0.3" footer="0.3"/>
  <pageSetup orientation="portrait" r:id="rId1"/>
  <ignoredErrors>
    <ignoredError sqref="T4:W4 T6:W7 T18:W20 T10:W14 V8:W8 T17 V17:W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B19A2-1F17-4701-BA46-625616E33CA8}">
  <dimension ref="B3:P37"/>
  <sheetViews>
    <sheetView showGridLines="0" workbookViewId="0"/>
  </sheetViews>
  <sheetFormatPr defaultRowHeight="15" x14ac:dyDescent="0.25"/>
  <cols>
    <col min="2" max="2" width="34.5703125" customWidth="1"/>
    <col min="3" max="3" width="14.42578125" customWidth="1"/>
    <col min="4" max="4" width="41" customWidth="1"/>
    <col min="5" max="5" width="5.42578125" customWidth="1"/>
    <col min="6" max="6" width="45.7109375" customWidth="1"/>
    <col min="7" max="7" width="10.140625" customWidth="1"/>
    <col min="15" max="15" width="35.140625" customWidth="1"/>
    <col min="16" max="17" width="26.5703125" customWidth="1"/>
  </cols>
  <sheetData>
    <row r="3" spans="2:16" x14ac:dyDescent="0.25">
      <c r="B3" s="9" t="s">
        <v>29</v>
      </c>
      <c r="C3" s="22"/>
      <c r="D3" s="10"/>
      <c r="F3" s="9" t="s">
        <v>63</v>
      </c>
      <c r="G3" s="10"/>
    </row>
    <row r="4" spans="2:16" x14ac:dyDescent="0.25">
      <c r="B4" s="11"/>
      <c r="C4" s="11"/>
      <c r="F4" s="12"/>
      <c r="G4" s="56"/>
    </row>
    <row r="5" spans="2:16" x14ac:dyDescent="0.25">
      <c r="B5" s="12" t="s">
        <v>19</v>
      </c>
      <c r="C5" s="18">
        <v>3.79</v>
      </c>
      <c r="D5" s="63" t="s">
        <v>78</v>
      </c>
      <c r="F5" s="14" t="s">
        <v>70</v>
      </c>
      <c r="G5" s="61">
        <v>28</v>
      </c>
    </row>
    <row r="6" spans="2:16" x14ac:dyDescent="0.25">
      <c r="B6" s="13" t="s">
        <v>22</v>
      </c>
      <c r="C6" s="26">
        <f>51152134/1000000+5.234</f>
        <v>56.386133999999998</v>
      </c>
      <c r="D6" s="23" t="s">
        <v>36</v>
      </c>
      <c r="F6" s="12" t="s">
        <v>52</v>
      </c>
      <c r="G6" s="16">
        <f>C30/G5</f>
        <v>3.400337423571429</v>
      </c>
      <c r="M6" s="54"/>
    </row>
    <row r="7" spans="2:16" x14ac:dyDescent="0.25">
      <c r="B7" s="14" t="s">
        <v>20</v>
      </c>
      <c r="C7" s="19">
        <f>+C5*C6</f>
        <v>213.70344785999998</v>
      </c>
      <c r="D7" s="4"/>
    </row>
    <row r="8" spans="2:16" x14ac:dyDescent="0.25">
      <c r="B8" s="12" t="s">
        <v>25</v>
      </c>
      <c r="C8" s="20">
        <v>73.213999999999999</v>
      </c>
      <c r="D8" s="23" t="s">
        <v>26</v>
      </c>
      <c r="F8" s="14" t="s">
        <v>39</v>
      </c>
      <c r="G8" s="19">
        <f>Model!W21</f>
        <v>45.173387349430641</v>
      </c>
    </row>
    <row r="9" spans="2:16" x14ac:dyDescent="0.25">
      <c r="B9" s="12" t="s">
        <v>23</v>
      </c>
      <c r="C9" s="20">
        <v>178.529</v>
      </c>
      <c r="D9" s="1"/>
      <c r="F9" s="12" t="s">
        <v>52</v>
      </c>
      <c r="G9" s="16">
        <f>C30/G8</f>
        <v>2.1076446431507203</v>
      </c>
    </row>
    <row r="10" spans="2:16" x14ac:dyDescent="0.25">
      <c r="B10" s="12" t="s">
        <v>24</v>
      </c>
      <c r="C10" s="20">
        <v>65.950999999999993</v>
      </c>
      <c r="D10" s="1"/>
      <c r="F10" s="65" t="s">
        <v>76</v>
      </c>
    </row>
    <row r="11" spans="2:16" x14ac:dyDescent="0.25">
      <c r="B11" s="13" t="s">
        <v>27</v>
      </c>
      <c r="C11" s="21">
        <v>236</v>
      </c>
      <c r="D11" s="23" t="s">
        <v>28</v>
      </c>
    </row>
    <row r="12" spans="2:16" x14ac:dyDescent="0.25">
      <c r="B12" s="14" t="s">
        <v>21</v>
      </c>
      <c r="C12" s="19">
        <f>C7-C8-C9-C10+C11</f>
        <v>132.00944785999999</v>
      </c>
      <c r="D12" s="1"/>
      <c r="F12" s="14" t="s">
        <v>51</v>
      </c>
      <c r="G12" s="19">
        <f>Model!X21</f>
        <v>72.300895451845207</v>
      </c>
    </row>
    <row r="13" spans="2:16" x14ac:dyDescent="0.25">
      <c r="B13" s="12"/>
      <c r="C13" s="15"/>
      <c r="D13" s="1"/>
      <c r="F13" s="12" t="s">
        <v>52</v>
      </c>
      <c r="G13" s="16">
        <f>C30/G12</f>
        <v>1.3168501892678861</v>
      </c>
    </row>
    <row r="14" spans="2:16" x14ac:dyDescent="0.25">
      <c r="B14" s="12" t="s">
        <v>30</v>
      </c>
      <c r="C14" s="20">
        <f>C8+C9+C10</f>
        <v>317.69399999999996</v>
      </c>
      <c r="D14" s="1"/>
      <c r="F14" s="65" t="s">
        <v>77</v>
      </c>
      <c r="P14" s="17"/>
    </row>
    <row r="15" spans="2:16" x14ac:dyDescent="0.25">
      <c r="B15" s="12" t="s">
        <v>0</v>
      </c>
      <c r="C15" s="20">
        <f>C11</f>
        <v>236</v>
      </c>
      <c r="D15" s="1"/>
      <c r="P15" s="42"/>
    </row>
    <row r="16" spans="2:16" x14ac:dyDescent="0.25">
      <c r="B16" s="14" t="s">
        <v>1</v>
      </c>
      <c r="C16" s="19">
        <f>C14-C15</f>
        <v>81.69399999999996</v>
      </c>
      <c r="D16" s="1"/>
      <c r="F16" s="14" t="s">
        <v>71</v>
      </c>
      <c r="G16" s="19">
        <f>Model!X29</f>
        <v>24.7676715888839</v>
      </c>
      <c r="P16" s="54"/>
    </row>
    <row r="17" spans="2:16" x14ac:dyDescent="0.25">
      <c r="B17" s="24" t="s">
        <v>37</v>
      </c>
      <c r="C17" s="25">
        <f>C16/C7</f>
        <v>0.38227740739830646</v>
      </c>
      <c r="D17" s="1"/>
      <c r="F17" s="12" t="s">
        <v>72</v>
      </c>
      <c r="G17" s="25">
        <f>G16/C30</f>
        <v>0.26013880077640328</v>
      </c>
    </row>
    <row r="19" spans="2:16" x14ac:dyDescent="0.25">
      <c r="B19" s="9" t="s">
        <v>32</v>
      </c>
      <c r="C19" s="22"/>
      <c r="D19" s="10"/>
      <c r="F19" s="9" t="s">
        <v>64</v>
      </c>
      <c r="G19" s="10"/>
      <c r="P19" s="17"/>
    </row>
    <row r="20" spans="2:16" x14ac:dyDescent="0.25">
      <c r="B20" s="12"/>
      <c r="C20" s="15"/>
      <c r="F20" s="12"/>
      <c r="G20" s="11"/>
      <c r="O20" s="17"/>
      <c r="P20" s="54"/>
    </row>
    <row r="21" spans="2:16" x14ac:dyDescent="0.25">
      <c r="B21" s="14" t="s">
        <v>20</v>
      </c>
      <c r="C21" s="19">
        <f>C7</f>
        <v>213.70344785999998</v>
      </c>
      <c r="D21" s="1"/>
      <c r="F21" s="14" t="s">
        <v>73</v>
      </c>
      <c r="G21" s="57">
        <v>12.5</v>
      </c>
      <c r="O21" s="54"/>
    </row>
    <row r="22" spans="2:16" x14ac:dyDescent="0.25">
      <c r="D22" s="1"/>
      <c r="F22" s="14" t="s">
        <v>21</v>
      </c>
      <c r="G22" s="19">
        <f>G21*G16</f>
        <v>309.59589486104875</v>
      </c>
    </row>
    <row r="23" spans="2:16" x14ac:dyDescent="0.25">
      <c r="B23" s="12" t="s">
        <v>30</v>
      </c>
      <c r="C23" s="20">
        <f>C14</f>
        <v>317.69399999999996</v>
      </c>
      <c r="D23" s="1"/>
      <c r="F23" s="24" t="s">
        <v>74</v>
      </c>
      <c r="G23" s="20">
        <f>C28</f>
        <v>118.49399999999997</v>
      </c>
    </row>
    <row r="24" spans="2:16" x14ac:dyDescent="0.25">
      <c r="B24" s="12" t="s">
        <v>33</v>
      </c>
      <c r="C24" s="20">
        <v>15</v>
      </c>
      <c r="D24" s="23" t="s">
        <v>38</v>
      </c>
      <c r="F24" s="58" t="s">
        <v>75</v>
      </c>
      <c r="G24" s="21">
        <f>Model!W29</f>
        <v>4.4220405120729787</v>
      </c>
      <c r="O24" s="54"/>
    </row>
    <row r="25" spans="2:16" x14ac:dyDescent="0.25">
      <c r="B25" s="12" t="s">
        <v>31</v>
      </c>
      <c r="C25" s="20">
        <v>96.2</v>
      </c>
      <c r="D25" s="23" t="s">
        <v>34</v>
      </c>
      <c r="F25" s="14" t="s">
        <v>65</v>
      </c>
      <c r="G25" s="19">
        <f>G22+G23+G24</f>
        <v>432.51193537312167</v>
      </c>
    </row>
    <row r="26" spans="2:16" x14ac:dyDescent="0.25">
      <c r="B26" s="12" t="s">
        <v>0</v>
      </c>
      <c r="C26" s="20">
        <f>C15</f>
        <v>236</v>
      </c>
      <c r="D26" s="1"/>
      <c r="F26" s="59" t="s">
        <v>66</v>
      </c>
      <c r="G26" s="62">
        <f>G25/C6</f>
        <v>7.6705371461203864</v>
      </c>
    </row>
    <row r="27" spans="2:16" x14ac:dyDescent="0.25">
      <c r="B27" s="13" t="s">
        <v>35</v>
      </c>
      <c r="C27" s="21">
        <v>118</v>
      </c>
      <c r="D27" s="1"/>
      <c r="F27" s="24" t="s">
        <v>67</v>
      </c>
      <c r="G27" s="25">
        <f>G26/C5-1</f>
        <v>1.023888429055511</v>
      </c>
    </row>
    <row r="28" spans="2:16" x14ac:dyDescent="0.25">
      <c r="B28" s="14" t="s">
        <v>1</v>
      </c>
      <c r="C28" s="19">
        <f>C23+C24-C25-(C26-C27)</f>
        <v>118.49399999999997</v>
      </c>
      <c r="D28" s="1"/>
    </row>
    <row r="29" spans="2:16" x14ac:dyDescent="0.25">
      <c r="B29" s="24" t="s">
        <v>37</v>
      </c>
      <c r="C29" s="25">
        <f>C28/C21</f>
        <v>0.55447865341708003</v>
      </c>
      <c r="D29" s="1"/>
      <c r="F29" s="12" t="s">
        <v>68</v>
      </c>
      <c r="G29" s="16">
        <f>G22/G12</f>
        <v>4.2820478629790948</v>
      </c>
    </row>
    <row r="30" spans="2:16" x14ac:dyDescent="0.25">
      <c r="B30" s="14" t="s">
        <v>21</v>
      </c>
      <c r="C30" s="19">
        <f>C21-C28</f>
        <v>95.209447860000012</v>
      </c>
      <c r="F30" s="12" t="s">
        <v>69</v>
      </c>
      <c r="G30" s="60">
        <f>G16/G22</f>
        <v>0.08</v>
      </c>
    </row>
    <row r="31" spans="2:16" x14ac:dyDescent="0.25">
      <c r="D31" s="1"/>
    </row>
    <row r="32" spans="2:16" x14ac:dyDescent="0.25">
      <c r="D32" s="1"/>
    </row>
    <row r="33" spans="3:10" x14ac:dyDescent="0.25">
      <c r="D33" s="1"/>
    </row>
    <row r="34" spans="3:10" x14ac:dyDescent="0.25">
      <c r="C34" s="67"/>
      <c r="D34" s="1"/>
      <c r="G34" s="17"/>
    </row>
    <row r="35" spans="3:10" x14ac:dyDescent="0.25">
      <c r="D35" s="1"/>
      <c r="G35" s="54"/>
      <c r="J35" s="54"/>
    </row>
    <row r="36" spans="3:10" x14ac:dyDescent="0.25">
      <c r="C36" s="17"/>
      <c r="D36" s="23"/>
    </row>
    <row r="37" spans="3:10" x14ac:dyDescent="0.25">
      <c r="C37" s="17"/>
      <c r="G37" s="68"/>
    </row>
  </sheetData>
  <mergeCells count="4">
    <mergeCell ref="B3:D3"/>
    <mergeCell ref="B19:D19"/>
    <mergeCell ref="F3:G3"/>
    <mergeCell ref="F19:G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F8F32-5A43-43DC-BB53-9AD4A27CD930}">
  <dimension ref="B3:R24"/>
  <sheetViews>
    <sheetView showGridLines="0" workbookViewId="0"/>
  </sheetViews>
  <sheetFormatPr defaultRowHeight="15" x14ac:dyDescent="0.25"/>
  <cols>
    <col min="2" max="2" width="24.7109375" customWidth="1"/>
  </cols>
  <sheetData>
    <row r="3" spans="2:18" x14ac:dyDescent="0.25">
      <c r="C3" s="2">
        <v>2020</v>
      </c>
      <c r="D3" s="2">
        <v>2020</v>
      </c>
      <c r="E3" s="2">
        <v>2020</v>
      </c>
      <c r="F3" s="2">
        <v>2020</v>
      </c>
      <c r="G3" s="2">
        <v>2021</v>
      </c>
      <c r="H3" s="2">
        <v>2021</v>
      </c>
      <c r="I3" s="2">
        <v>2021</v>
      </c>
      <c r="J3" s="2">
        <v>2021</v>
      </c>
      <c r="K3" s="2">
        <v>2022</v>
      </c>
      <c r="L3" s="2">
        <v>2022</v>
      </c>
      <c r="M3" s="2">
        <v>2022</v>
      </c>
      <c r="N3" s="2">
        <v>2022</v>
      </c>
      <c r="O3" s="2">
        <v>2023</v>
      </c>
      <c r="P3" s="2">
        <v>2023</v>
      </c>
      <c r="Q3" s="2">
        <v>2023</v>
      </c>
      <c r="R3" s="2">
        <v>2023</v>
      </c>
    </row>
    <row r="4" spans="2:18" x14ac:dyDescent="0.25">
      <c r="C4" s="2" t="s">
        <v>6</v>
      </c>
      <c r="D4" s="2" t="s">
        <v>5</v>
      </c>
      <c r="E4" s="2" t="s">
        <v>4</v>
      </c>
      <c r="F4" s="2" t="s">
        <v>3</v>
      </c>
      <c r="G4" s="2" t="s">
        <v>6</v>
      </c>
      <c r="H4" s="2" t="s">
        <v>5</v>
      </c>
      <c r="I4" s="2" t="s">
        <v>4</v>
      </c>
      <c r="J4" s="2" t="s">
        <v>3</v>
      </c>
      <c r="K4" s="2" t="s">
        <v>6</v>
      </c>
      <c r="L4" s="2" t="s">
        <v>5</v>
      </c>
      <c r="M4" s="2" t="s">
        <v>4</v>
      </c>
      <c r="N4" s="2" t="s">
        <v>3</v>
      </c>
      <c r="O4" s="2" t="s">
        <v>6</v>
      </c>
      <c r="P4" s="2" t="s">
        <v>5</v>
      </c>
      <c r="Q4" s="2" t="s">
        <v>4</v>
      </c>
      <c r="R4" s="2" t="s">
        <v>3</v>
      </c>
    </row>
    <row r="5" spans="2:18" x14ac:dyDescent="0.25">
      <c r="B5" s="1" t="s">
        <v>2</v>
      </c>
      <c r="C5" s="2">
        <v>177.3</v>
      </c>
      <c r="D5" s="2">
        <v>157.9</v>
      </c>
      <c r="E5" s="2">
        <v>186.5</v>
      </c>
      <c r="F5" s="2">
        <v>245.4</v>
      </c>
      <c r="G5" s="2">
        <v>228</v>
      </c>
      <c r="H5" s="2">
        <v>247.2</v>
      </c>
      <c r="I5" s="2">
        <v>250.8</v>
      </c>
      <c r="J5" s="2">
        <v>289.7</v>
      </c>
      <c r="K5" s="2">
        <v>254.2</v>
      </c>
      <c r="L5" s="2">
        <v>250.9</v>
      </c>
      <c r="M5" s="2">
        <v>229</v>
      </c>
      <c r="N5" s="2">
        <v>258</v>
      </c>
      <c r="O5" s="6">
        <v>231.8</v>
      </c>
      <c r="P5" s="6"/>
      <c r="Q5" s="6"/>
      <c r="R5" s="6"/>
    </row>
    <row r="6" spans="2:18" x14ac:dyDescent="0.25">
      <c r="B6" s="4" t="s">
        <v>10</v>
      </c>
      <c r="C6" s="2"/>
      <c r="D6" s="2"/>
      <c r="E6" s="2"/>
      <c r="F6" s="2"/>
      <c r="G6" s="3">
        <f t="shared" ref="G6:O6" si="0">G5/C5-1</f>
        <v>0.28595600676818944</v>
      </c>
      <c r="H6" s="3">
        <f t="shared" si="0"/>
        <v>0.56554781507283081</v>
      </c>
      <c r="I6" s="3">
        <f t="shared" si="0"/>
        <v>0.34477211796246654</v>
      </c>
      <c r="J6" s="3">
        <f t="shared" si="0"/>
        <v>0.1805215973920129</v>
      </c>
      <c r="K6" s="3">
        <f t="shared" si="0"/>
        <v>0.11491228070175441</v>
      </c>
      <c r="L6" s="3">
        <f t="shared" si="0"/>
        <v>1.4967637540453049E-2</v>
      </c>
      <c r="M6" s="3">
        <f t="shared" si="0"/>
        <v>-8.6921850079744845E-2</v>
      </c>
      <c r="N6" s="3">
        <f t="shared" si="0"/>
        <v>-0.1094235415947532</v>
      </c>
      <c r="O6" s="3">
        <f t="shared" si="0"/>
        <v>-8.8119590873327991E-2</v>
      </c>
      <c r="P6" s="5"/>
      <c r="Q6" s="5"/>
      <c r="R6" s="5"/>
    </row>
    <row r="7" spans="2:18" x14ac:dyDescent="0.25">
      <c r="B7" s="4" t="s">
        <v>15</v>
      </c>
      <c r="G7" s="3"/>
      <c r="H7" s="3"/>
      <c r="I7" s="3"/>
      <c r="J7" s="3"/>
      <c r="K7" s="3">
        <v>0.14000000000000001</v>
      </c>
      <c r="L7" s="3">
        <v>0.06</v>
      </c>
      <c r="M7" s="3">
        <v>-0.03</v>
      </c>
      <c r="N7" s="3">
        <v>-6.9000000000000006E-2</v>
      </c>
      <c r="O7" s="3">
        <v>-7.0000000000000007E-2</v>
      </c>
      <c r="P7" s="3"/>
      <c r="Q7" s="3"/>
      <c r="R7" s="3"/>
    </row>
    <row r="8" spans="2:18" x14ac:dyDescent="0.25">
      <c r="B8" s="4" t="s">
        <v>48</v>
      </c>
      <c r="K8" s="3">
        <f>K6-K7</f>
        <v>-2.5087719298245603E-2</v>
      </c>
      <c r="L8" s="3">
        <f t="shared" ref="L8:O8" si="1">L6-L7</f>
        <v>-4.5032362459546948E-2</v>
      </c>
      <c r="M8" s="3">
        <f t="shared" si="1"/>
        <v>-5.6921850079744846E-2</v>
      </c>
      <c r="N8" s="3">
        <f t="shared" si="1"/>
        <v>-4.0423541594753198E-2</v>
      </c>
      <c r="O8" s="3">
        <f t="shared" si="1"/>
        <v>-1.8119590873327984E-2</v>
      </c>
    </row>
    <row r="11" spans="2:18" x14ac:dyDescent="0.25">
      <c r="B11" s="1" t="s">
        <v>40</v>
      </c>
      <c r="K11" s="8">
        <v>0.4</v>
      </c>
      <c r="L11" s="3">
        <f>K11</f>
        <v>0.4</v>
      </c>
      <c r="M11" s="3">
        <f t="shared" ref="M11:R11" si="2">L11</f>
        <v>0.4</v>
      </c>
      <c r="N11" s="3">
        <f t="shared" si="2"/>
        <v>0.4</v>
      </c>
      <c r="O11" s="3">
        <f t="shared" si="2"/>
        <v>0.4</v>
      </c>
      <c r="P11" s="3">
        <f t="shared" si="2"/>
        <v>0.4</v>
      </c>
      <c r="Q11" s="3">
        <f t="shared" si="2"/>
        <v>0.4</v>
      </c>
      <c r="R11" s="3">
        <f t="shared" si="2"/>
        <v>0.4</v>
      </c>
    </row>
    <row r="12" spans="2:18" x14ac:dyDescent="0.25">
      <c r="B12" s="1" t="s">
        <v>41</v>
      </c>
      <c r="K12" s="8">
        <v>0</v>
      </c>
      <c r="L12" s="3">
        <f t="shared" ref="L12:R13" si="3">K12</f>
        <v>0</v>
      </c>
      <c r="M12" s="3">
        <f t="shared" si="3"/>
        <v>0</v>
      </c>
      <c r="N12" s="3">
        <f t="shared" si="3"/>
        <v>0</v>
      </c>
      <c r="O12" s="3">
        <f t="shared" si="3"/>
        <v>0</v>
      </c>
      <c r="P12" s="3">
        <f t="shared" si="3"/>
        <v>0</v>
      </c>
      <c r="Q12" s="3">
        <f t="shared" si="3"/>
        <v>0</v>
      </c>
      <c r="R12" s="3">
        <f t="shared" si="3"/>
        <v>0</v>
      </c>
    </row>
    <row r="13" spans="2:18" x14ac:dyDescent="0.25">
      <c r="B13" s="1" t="s">
        <v>42</v>
      </c>
      <c r="K13" s="8">
        <f>1-K11-K12</f>
        <v>0.6</v>
      </c>
      <c r="L13" s="3">
        <f t="shared" si="3"/>
        <v>0.6</v>
      </c>
      <c r="M13" s="3">
        <f t="shared" si="3"/>
        <v>0.6</v>
      </c>
      <c r="N13" s="3">
        <f t="shared" si="3"/>
        <v>0.6</v>
      </c>
      <c r="O13" s="3">
        <f t="shared" si="3"/>
        <v>0.6</v>
      </c>
      <c r="P13" s="3">
        <f t="shared" si="3"/>
        <v>0.6</v>
      </c>
      <c r="Q13" s="3">
        <f t="shared" si="3"/>
        <v>0.6</v>
      </c>
      <c r="R13" s="3">
        <f t="shared" si="3"/>
        <v>0.6</v>
      </c>
    </row>
    <row r="15" spans="2:18" x14ac:dyDescent="0.25">
      <c r="B15" s="1" t="s">
        <v>43</v>
      </c>
      <c r="G15" s="7">
        <v>1.2053623333333334</v>
      </c>
      <c r="H15" s="7">
        <v>1.2050510000000001</v>
      </c>
      <c r="I15" s="7">
        <v>1.178974</v>
      </c>
      <c r="J15" s="7">
        <v>1.1432210000000003</v>
      </c>
      <c r="K15" s="7">
        <f>+(1.132211+1.134813+1.100694)/3</f>
        <v>1.1225726666666667</v>
      </c>
      <c r="L15" s="7">
        <f>+(1.080801+1.057227+1.056715)/3</f>
        <v>1.0649143333333333</v>
      </c>
      <c r="M15" s="7">
        <f>+(1.019149+1.011835+0.991346)/3</f>
        <v>1.0074433333333335</v>
      </c>
      <c r="N15" s="7">
        <f>+(0.983325+1.022525+1.059237)/3</f>
        <v>1.0216956666666666</v>
      </c>
      <c r="O15" s="7">
        <f>+(1.078189+1.07039+1.071229)/3</f>
        <v>1.0732693333333332</v>
      </c>
      <c r="P15" s="7">
        <f>(1.099125+1.103487)/2</f>
        <v>1.1013060000000001</v>
      </c>
      <c r="Q15" s="27">
        <v>1.08</v>
      </c>
      <c r="R15" s="27">
        <f>Q15</f>
        <v>1.08</v>
      </c>
    </row>
    <row r="16" spans="2:18" x14ac:dyDescent="0.25">
      <c r="B16" s="1" t="s">
        <v>44</v>
      </c>
      <c r="G16" s="7">
        <v>9.4369999999999992E-3</v>
      </c>
      <c r="H16" s="7">
        <v>9.1383333333333334E-3</v>
      </c>
      <c r="I16" s="7">
        <v>9.0836666666666652E-3</v>
      </c>
      <c r="J16" s="7">
        <v>8.8019999999999991E-3</v>
      </c>
      <c r="K16" s="7">
        <v>8.6060000000000008E-3</v>
      </c>
      <c r="L16" s="7">
        <v>7.7146666666666657E-3</v>
      </c>
      <c r="M16" s="7">
        <v>7.2383333333333327E-3</v>
      </c>
      <c r="N16" s="7">
        <v>7.097333333333334E-3</v>
      </c>
      <c r="O16" s="7">
        <v>7.5560000000000002E-3</v>
      </c>
      <c r="P16" s="7">
        <v>7.4029999999999999E-3</v>
      </c>
      <c r="Q16" s="27">
        <f>P16</f>
        <v>7.4029999999999999E-3</v>
      </c>
      <c r="R16" s="27">
        <f>Q16</f>
        <v>7.4029999999999999E-3</v>
      </c>
    </row>
    <row r="17" spans="2:18" x14ac:dyDescent="0.25">
      <c r="B17" s="1" t="s">
        <v>45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</row>
    <row r="19" spans="2:18" x14ac:dyDescent="0.25">
      <c r="B19" s="1" t="s">
        <v>43</v>
      </c>
      <c r="K19" s="3">
        <f t="shared" ref="K19:R21" si="4">K15/G15-1</f>
        <v>-6.8684464726650685E-2</v>
      </c>
      <c r="L19" s="3">
        <f t="shared" si="4"/>
        <v>-0.11629106707240344</v>
      </c>
      <c r="M19" s="3">
        <f t="shared" si="4"/>
        <v>-0.14549147535625595</v>
      </c>
      <c r="N19" s="3">
        <f t="shared" si="4"/>
        <v>-0.1063008231420991</v>
      </c>
      <c r="O19" s="3">
        <f>O15/K15-1</f>
        <v>-4.3919948166681544E-2</v>
      </c>
      <c r="P19" s="3">
        <f>P15/L15-1</f>
        <v>3.4173327870191894E-2</v>
      </c>
      <c r="Q19" s="3">
        <f>Q15/M15-1</f>
        <v>7.2020593383250509E-2</v>
      </c>
      <c r="R19" s="3">
        <f>R15/N15-1</f>
        <v>5.7066243144158868E-2</v>
      </c>
    </row>
    <row r="20" spans="2:18" x14ac:dyDescent="0.25">
      <c r="B20" s="1" t="s">
        <v>44</v>
      </c>
      <c r="K20" s="3">
        <f t="shared" si="4"/>
        <v>-8.8057645438168741E-2</v>
      </c>
      <c r="L20" s="3">
        <f t="shared" si="4"/>
        <v>-0.15579062556994361</v>
      </c>
      <c r="M20" s="3">
        <f t="shared" si="4"/>
        <v>-0.20314850831162157</v>
      </c>
      <c r="N20" s="3">
        <f t="shared" si="4"/>
        <v>-0.1936681057335452</v>
      </c>
      <c r="O20" s="3">
        <f t="shared" si="4"/>
        <v>-0.1220079014640949</v>
      </c>
      <c r="P20" s="3">
        <f t="shared" si="4"/>
        <v>-4.0399239543726151E-2</v>
      </c>
      <c r="Q20" s="3">
        <f t="shared" si="4"/>
        <v>2.2749251669353043E-2</v>
      </c>
      <c r="R20" s="3">
        <f t="shared" si="4"/>
        <v>4.3067818899116928E-2</v>
      </c>
    </row>
    <row r="21" spans="2:18" x14ac:dyDescent="0.25">
      <c r="B21" s="1" t="s">
        <v>45</v>
      </c>
      <c r="K21" s="3">
        <f t="shared" si="4"/>
        <v>0</v>
      </c>
      <c r="L21" s="3">
        <f t="shared" si="4"/>
        <v>0</v>
      </c>
      <c r="M21" s="3">
        <f t="shared" si="4"/>
        <v>0</v>
      </c>
      <c r="N21" s="3">
        <f t="shared" si="4"/>
        <v>0</v>
      </c>
      <c r="O21" s="3">
        <f>O17/K17-1</f>
        <v>0</v>
      </c>
      <c r="P21" s="3">
        <f>P17/L17-1</f>
        <v>0</v>
      </c>
      <c r="Q21" s="3">
        <f>Q17/M17-1</f>
        <v>0</v>
      </c>
      <c r="R21" s="3">
        <f>R17/N17-1</f>
        <v>0</v>
      </c>
    </row>
    <row r="23" spans="2:18" x14ac:dyDescent="0.25">
      <c r="B23" s="1" t="s">
        <v>46</v>
      </c>
      <c r="K23" s="3">
        <f t="shared" ref="K23:O23" si="5">SUMPRODUCT(K11:K13,K19:K21)</f>
        <v>-2.7473785890660275E-2</v>
      </c>
      <c r="L23" s="3">
        <f t="shared" si="5"/>
        <v>-4.6516426828961378E-2</v>
      </c>
      <c r="M23" s="3">
        <f t="shared" si="5"/>
        <v>-5.8196590142502384E-2</v>
      </c>
      <c r="N23" s="3">
        <f t="shared" si="5"/>
        <v>-4.2520329256839642E-2</v>
      </c>
      <c r="O23" s="3">
        <f>SUMPRODUCT(O11:O13,O19:O21)</f>
        <v>-1.7567979266672619E-2</v>
      </c>
      <c r="P23" s="66">
        <f t="shared" ref="P23:R23" si="6">SUMPRODUCT(P11:P13,P19:P21)</f>
        <v>1.3669331148076759E-2</v>
      </c>
      <c r="Q23" s="66">
        <f t="shared" si="6"/>
        <v>2.8808237353300205E-2</v>
      </c>
      <c r="R23" s="66">
        <f t="shared" si="6"/>
        <v>2.2826497257663548E-2</v>
      </c>
    </row>
    <row r="24" spans="2:18" x14ac:dyDescent="0.25">
      <c r="B24" s="1" t="s">
        <v>47</v>
      </c>
      <c r="K24" s="3">
        <f>K6-K7</f>
        <v>-2.5087719298245603E-2</v>
      </c>
      <c r="L24" s="3">
        <f>L6-L7</f>
        <v>-4.5032362459546948E-2</v>
      </c>
      <c r="M24" s="3">
        <f>M6-M7</f>
        <v>-5.6921850079744846E-2</v>
      </c>
      <c r="N24" s="3">
        <f>N6-N7</f>
        <v>-4.0423541594753198E-2</v>
      </c>
      <c r="O24" s="3">
        <f>O6-O7</f>
        <v>-1.8119590873327984E-2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</vt:lpstr>
      <vt:lpstr>Val</vt:lpstr>
      <vt:lpstr>Fx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Tamez</dc:creator>
  <cp:lastModifiedBy>Armando Tamez</cp:lastModifiedBy>
  <dcterms:created xsi:type="dcterms:W3CDTF">2023-04-14T21:12:56Z</dcterms:created>
  <dcterms:modified xsi:type="dcterms:W3CDTF">2023-05-13T02:43:39Z</dcterms:modified>
</cp:coreProperties>
</file>